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D:\Projects\Presentations\FQHC KPIs Webinar\"/>
    </mc:Choice>
  </mc:AlternateContent>
  <bookViews>
    <workbookView xWindow="0" yWindow="0" windowWidth="21600" windowHeight="10020" tabRatio="879"/>
  </bookViews>
  <sheets>
    <sheet name="KPIs by Market" sheetId="60" r:id="rId1"/>
    <sheet name="MarketWise AR" sheetId="61" state="hidden" r:id="rId2"/>
    <sheet name="KPIs - Enterprise" sheetId="1" r:id="rId3"/>
    <sheet name="AR - Enterprise" sheetId="2" r:id="rId4"/>
    <sheet name="AR Snapshot - Enterprise" sheetId="11" r:id="rId5"/>
    <sheet name="Highlights - Enterprise" sheetId="6" r:id="rId6"/>
    <sheet name="KPI - Market 1" sheetId="58" r:id="rId7"/>
    <sheet name="AR - Market 1" sheetId="56" r:id="rId8"/>
    <sheet name="KPI - Market 2" sheetId="59" r:id="rId9"/>
    <sheet name="AR - Market 2" sheetId="57" r:id="rId10"/>
  </sheets>
  <definedNames>
    <definedName name="_xlnm._FilterDatabase" localSheetId="8" hidden="1">'KPI - Market 2'!$A$3:$W$34</definedName>
    <definedName name="_xlnm._FilterDatabase" localSheetId="2" hidden="1">'KPIs - Enterprise'!$A$3:$BS$28</definedName>
    <definedName name="_xlnm._FilterDatabase" localSheetId="1" hidden="1">'MarketWise AR'!$A$1:$AP$148</definedName>
    <definedName name="_xlnm.Print_Area" localSheetId="3">'AR - Enterprise'!$A$1:$H$70</definedName>
    <definedName name="_xlnm.Print_Area" localSheetId="4">'AR Snapshot - Enterprise'!$A$1:$X$41</definedName>
    <definedName name="_xlnm.Print_Area" localSheetId="2">'KPIs - Enterprise'!$A$3:$BS$34</definedName>
    <definedName name="_xlnm.Print_Area" localSheetId="0">'KPIs by Market'!$A$1:$AB$12</definedName>
    <definedName name="Slicer_MARKET1">#N/A</definedName>
    <definedName name="Slicer_Month1">#N/A</definedName>
  </definedNames>
  <calcPr calcId="162913"/>
  <pivotCaches>
    <pivotCache cacheId="0"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Lst>
</workbook>
</file>

<file path=xl/calcChain.xml><?xml version="1.0" encoding="utf-8"?>
<calcChain xmlns="http://schemas.openxmlformats.org/spreadsheetml/2006/main">
  <c r="V28" i="59" l="1"/>
  <c r="R751" i="61"/>
  <c r="BH8" i="1"/>
  <c r="BH4" i="1"/>
  <c r="BH5" i="1"/>
  <c r="BH10" i="1"/>
  <c r="BH11" i="1"/>
  <c r="BH34" i="1"/>
  <c r="BI34" i="1"/>
  <c r="BJ8" i="1"/>
  <c r="BJ4" i="1"/>
  <c r="BJ5" i="1"/>
  <c r="BJ10" i="1"/>
  <c r="BJ11" i="1"/>
  <c r="BK8" i="1"/>
  <c r="BK4" i="1"/>
  <c r="BK14" i="1" s="1"/>
  <c r="BK5" i="1"/>
  <c r="BK10" i="1"/>
  <c r="BK11" i="1"/>
  <c r="BL8" i="1"/>
  <c r="BL4" i="1"/>
  <c r="BL5" i="1"/>
  <c r="BL10" i="1"/>
  <c r="BL11" i="1"/>
  <c r="BM8" i="1"/>
  <c r="BM4" i="1"/>
  <c r="BM5" i="1"/>
  <c r="BM10" i="1"/>
  <c r="BM14" i="1" s="1"/>
  <c r="BM11" i="1"/>
  <c r="BN8" i="1"/>
  <c r="BN4" i="1"/>
  <c r="BN5" i="1"/>
  <c r="BN10" i="1"/>
  <c r="BN11" i="1"/>
  <c r="BO8" i="1"/>
  <c r="BO4" i="1"/>
  <c r="BO30" i="1" s="1"/>
  <c r="BO5" i="1"/>
  <c r="BO10" i="1"/>
  <c r="BO11" i="1"/>
  <c r="BP8" i="1"/>
  <c r="BP4" i="1"/>
  <c r="BP5" i="1"/>
  <c r="BP10" i="1"/>
  <c r="BP11" i="1"/>
  <c r="BQ8" i="1"/>
  <c r="BQ4" i="1"/>
  <c r="BQ5" i="1"/>
  <c r="BQ10" i="1"/>
  <c r="BQ14" i="1" s="1"/>
  <c r="BQ11" i="1"/>
  <c r="BR8" i="1"/>
  <c r="BR4" i="1"/>
  <c r="BR5" i="1"/>
  <c r="BR10" i="1"/>
  <c r="BR11" i="1"/>
  <c r="D129" i="2"/>
  <c r="BH33" i="1"/>
  <c r="D117" i="2"/>
  <c r="BI33" i="1" s="1"/>
  <c r="D105" i="2"/>
  <c r="D93" i="2"/>
  <c r="D81" i="2"/>
  <c r="D69" i="2"/>
  <c r="D57" i="2"/>
  <c r="D45" i="2"/>
  <c r="G45" i="2" s="1"/>
  <c r="D21" i="2"/>
  <c r="D9" i="2"/>
  <c r="D123" i="2"/>
  <c r="D124" i="2"/>
  <c r="D125" i="2"/>
  <c r="D126" i="2"/>
  <c r="D127" i="2"/>
  <c r="D128" i="2"/>
  <c r="D114" i="2"/>
  <c r="D115" i="2"/>
  <c r="D116" i="2"/>
  <c r="D99" i="2"/>
  <c r="D106" i="2" s="1"/>
  <c r="D100" i="2"/>
  <c r="D101" i="2"/>
  <c r="D102" i="2"/>
  <c r="D103" i="2"/>
  <c r="D104" i="2"/>
  <c r="D87" i="2"/>
  <c r="D88" i="2"/>
  <c r="D89" i="2"/>
  <c r="D90" i="2"/>
  <c r="D91" i="2"/>
  <c r="D92" i="2"/>
  <c r="D75" i="2"/>
  <c r="D76" i="2"/>
  <c r="D77" i="2"/>
  <c r="D78" i="2"/>
  <c r="D79" i="2"/>
  <c r="D80" i="2"/>
  <c r="D63" i="2"/>
  <c r="D64" i="2"/>
  <c r="D65" i="2"/>
  <c r="D66" i="2"/>
  <c r="D67" i="2"/>
  <c r="D68" i="2"/>
  <c r="D51" i="2"/>
  <c r="G51" i="2" s="1"/>
  <c r="D52" i="2"/>
  <c r="D53" i="2"/>
  <c r="D54" i="2"/>
  <c r="D55" i="2"/>
  <c r="G55" i="2" s="1"/>
  <c r="D56" i="2"/>
  <c r="D39" i="2"/>
  <c r="D40" i="2"/>
  <c r="D41" i="2"/>
  <c r="G41" i="2" s="1"/>
  <c r="D42" i="2"/>
  <c r="D43" i="2"/>
  <c r="D44" i="2"/>
  <c r="D15" i="2"/>
  <c r="D16" i="2"/>
  <c r="D17" i="2"/>
  <c r="D18" i="2"/>
  <c r="D19" i="2"/>
  <c r="D20" i="2"/>
  <c r="D3" i="2"/>
  <c r="D4" i="2"/>
  <c r="D5" i="2"/>
  <c r="D6" i="2"/>
  <c r="D7" i="2"/>
  <c r="D8" i="2"/>
  <c r="BH19" i="1"/>
  <c r="BI31" i="1"/>
  <c r="BJ19" i="1"/>
  <c r="BK19" i="1"/>
  <c r="BL19" i="1"/>
  <c r="BM19" i="1"/>
  <c r="B129" i="2"/>
  <c r="B117" i="2"/>
  <c r="B105" i="2"/>
  <c r="B93" i="2"/>
  <c r="BK30" i="1" s="1"/>
  <c r="B81" i="2"/>
  <c r="B69" i="2"/>
  <c r="BM30" i="1" s="1"/>
  <c r="B57" i="2"/>
  <c r="B45" i="2"/>
  <c r="B21" i="2"/>
  <c r="BQ30" i="1"/>
  <c r="B9" i="2"/>
  <c r="B123" i="2"/>
  <c r="B124" i="2"/>
  <c r="B125" i="2"/>
  <c r="B126" i="2"/>
  <c r="B127" i="2"/>
  <c r="B128" i="2"/>
  <c r="B111" i="2"/>
  <c r="B112" i="2"/>
  <c r="B113" i="2"/>
  <c r="B114" i="2"/>
  <c r="B115" i="2"/>
  <c r="B116" i="2"/>
  <c r="B99" i="2"/>
  <c r="B100" i="2"/>
  <c r="B101" i="2"/>
  <c r="B102" i="2"/>
  <c r="B103" i="2"/>
  <c r="B104" i="2"/>
  <c r="B87" i="2"/>
  <c r="B88" i="2"/>
  <c r="B89" i="2"/>
  <c r="B90" i="2"/>
  <c r="B91" i="2"/>
  <c r="B92" i="2"/>
  <c r="B75" i="2"/>
  <c r="B76" i="2"/>
  <c r="B77" i="2"/>
  <c r="B78" i="2"/>
  <c r="B79" i="2"/>
  <c r="B80" i="2"/>
  <c r="B63" i="2"/>
  <c r="B64" i="2"/>
  <c r="B65" i="2"/>
  <c r="B66" i="2"/>
  <c r="B67" i="2"/>
  <c r="B68" i="2"/>
  <c r="B51" i="2"/>
  <c r="B52" i="2"/>
  <c r="B53" i="2"/>
  <c r="G53" i="2" s="1"/>
  <c r="B54" i="2"/>
  <c r="B55" i="2"/>
  <c r="B56" i="2"/>
  <c r="B39" i="2"/>
  <c r="G39" i="2" s="1"/>
  <c r="B40" i="2"/>
  <c r="B41" i="2"/>
  <c r="B42" i="2"/>
  <c r="B43" i="2"/>
  <c r="B44" i="2"/>
  <c r="B15" i="2"/>
  <c r="B16" i="2"/>
  <c r="B17" i="2"/>
  <c r="B22" i="2" s="1"/>
  <c r="C19" i="2" s="1"/>
  <c r="B18" i="2"/>
  <c r="B19" i="2"/>
  <c r="B20" i="2"/>
  <c r="B3" i="2"/>
  <c r="B4" i="2"/>
  <c r="B5" i="2"/>
  <c r="B6" i="2"/>
  <c r="B7" i="2"/>
  <c r="B8" i="2"/>
  <c r="BG28" i="1"/>
  <c r="BH20" i="1"/>
  <c r="BJ20" i="1"/>
  <c r="BJ18" i="1" s="1"/>
  <c r="BK20" i="1"/>
  <c r="BL20" i="1"/>
  <c r="BM20" i="1"/>
  <c r="BR28" i="1"/>
  <c r="BG18" i="1"/>
  <c r="BG27" i="1" s="1"/>
  <c r="BI18" i="1"/>
  <c r="BK18" i="1"/>
  <c r="BM18" i="1"/>
  <c r="BP18" i="1"/>
  <c r="BQ18" i="1"/>
  <c r="BR18" i="1"/>
  <c r="BS26" i="1"/>
  <c r="BS25" i="1"/>
  <c r="BS24" i="1"/>
  <c r="BS23" i="1"/>
  <c r="BS22" i="1"/>
  <c r="BS21" i="1"/>
  <c r="BG17" i="1"/>
  <c r="BH6" i="1"/>
  <c r="BH7" i="1"/>
  <c r="BI17" i="1"/>
  <c r="BJ6" i="1"/>
  <c r="BJ7" i="1"/>
  <c r="BK6" i="1"/>
  <c r="BK7" i="1"/>
  <c r="BL6" i="1"/>
  <c r="BL7" i="1"/>
  <c r="BM6" i="1"/>
  <c r="BM15" i="1" s="1"/>
  <c r="BM7" i="1"/>
  <c r="BN6" i="1"/>
  <c r="BN7" i="1"/>
  <c r="BO6" i="1"/>
  <c r="BO7" i="1"/>
  <c r="BP6" i="1"/>
  <c r="BP7" i="1"/>
  <c r="BP16" i="1" s="1"/>
  <c r="BQ6" i="1"/>
  <c r="BQ15" i="1" s="1"/>
  <c r="BQ7" i="1"/>
  <c r="BQ16" i="1" s="1"/>
  <c r="BR6" i="1"/>
  <c r="BR7" i="1"/>
  <c r="BG16" i="1"/>
  <c r="BI16" i="1"/>
  <c r="BG15" i="1"/>
  <c r="BH12" i="1"/>
  <c r="BI15" i="1"/>
  <c r="BJ12" i="1"/>
  <c r="BK12" i="1"/>
  <c r="BL12" i="1"/>
  <c r="BM12" i="1"/>
  <c r="BN12" i="1"/>
  <c r="BO12" i="1"/>
  <c r="BP12" i="1"/>
  <c r="BQ12" i="1"/>
  <c r="BR12" i="1"/>
  <c r="BG14" i="1"/>
  <c r="BI14" i="1"/>
  <c r="BG13" i="1"/>
  <c r="BI13" i="1"/>
  <c r="BM13" i="1"/>
  <c r="BQ13" i="1"/>
  <c r="BG9" i="1"/>
  <c r="BI9" i="1"/>
  <c r="BR9" i="1"/>
  <c r="F9" i="2"/>
  <c r="F8" i="2"/>
  <c r="F7" i="2"/>
  <c r="F6" i="2"/>
  <c r="F3" i="2"/>
  <c r="F4" i="2"/>
  <c r="F5" i="2"/>
  <c r="BJ34" i="58"/>
  <c r="BK34" i="58"/>
  <c r="BL34" i="58"/>
  <c r="BM34" i="58"/>
  <c r="BN34" i="58"/>
  <c r="BO34" i="58"/>
  <c r="BP34" i="58"/>
  <c r="BQ34" i="58"/>
  <c r="BR34" i="58"/>
  <c r="BS34" i="58"/>
  <c r="BJ33" i="58"/>
  <c r="BK33" i="58"/>
  <c r="BL33" i="58"/>
  <c r="BM33" i="58"/>
  <c r="BN33" i="58"/>
  <c r="BO33" i="58"/>
  <c r="BP33" i="58"/>
  <c r="BQ33" i="58"/>
  <c r="BR33" i="58"/>
  <c r="BS33" i="58"/>
  <c r="BJ32" i="58"/>
  <c r="BK32" i="58"/>
  <c r="BL32" i="58"/>
  <c r="BM32" i="58"/>
  <c r="BN32" i="58"/>
  <c r="BO32" i="58"/>
  <c r="BP32" i="58"/>
  <c r="BQ32" i="58"/>
  <c r="BR32" i="58"/>
  <c r="BS32" i="58"/>
  <c r="BJ31" i="58"/>
  <c r="BK31" i="58"/>
  <c r="BL31" i="58"/>
  <c r="BM31" i="58"/>
  <c r="BN31" i="58"/>
  <c r="BO31" i="58"/>
  <c r="BP31" i="58"/>
  <c r="BQ31" i="58"/>
  <c r="BR31" i="58"/>
  <c r="BS31" i="58"/>
  <c r="BJ30" i="58"/>
  <c r="BK30" i="58"/>
  <c r="BL30" i="58"/>
  <c r="BM30" i="58"/>
  <c r="BN30" i="58"/>
  <c r="BO30" i="58"/>
  <c r="BP30" i="58"/>
  <c r="BQ30" i="58"/>
  <c r="BR30" i="58"/>
  <c r="BS30" i="58"/>
  <c r="BJ29" i="58"/>
  <c r="BK29" i="58"/>
  <c r="BL29" i="58"/>
  <c r="BM29" i="58"/>
  <c r="BN29" i="58"/>
  <c r="BO29" i="58"/>
  <c r="BP29" i="58"/>
  <c r="BQ29" i="58"/>
  <c r="BR29" i="58"/>
  <c r="BS29" i="58"/>
  <c r="BJ28" i="58"/>
  <c r="BK28" i="58"/>
  <c r="BL28" i="58"/>
  <c r="BM28" i="58"/>
  <c r="BN28" i="58"/>
  <c r="BO28" i="58"/>
  <c r="BP28" i="58"/>
  <c r="BQ28" i="58"/>
  <c r="BR28" i="58"/>
  <c r="BS28" i="58"/>
  <c r="BJ18" i="58"/>
  <c r="BJ27" i="58"/>
  <c r="BK18" i="58"/>
  <c r="BK27" i="58" s="1"/>
  <c r="BL18" i="58"/>
  <c r="BL27" i="58"/>
  <c r="BM18" i="58"/>
  <c r="BM27" i="58" s="1"/>
  <c r="BN18" i="58"/>
  <c r="BN27" i="58"/>
  <c r="BO18" i="58"/>
  <c r="BO27" i="58" s="1"/>
  <c r="BP18" i="58"/>
  <c r="BP27" i="58"/>
  <c r="BQ18" i="58"/>
  <c r="BQ27" i="58" s="1"/>
  <c r="BR18" i="58"/>
  <c r="BR27" i="58"/>
  <c r="BS18" i="58"/>
  <c r="BS27" i="58" s="1"/>
  <c r="BT26" i="58"/>
  <c r="BT25" i="58"/>
  <c r="BT24" i="58"/>
  <c r="BT23" i="58"/>
  <c r="BT22" i="58"/>
  <c r="BT21" i="58"/>
  <c r="BT20" i="58"/>
  <c r="BT19" i="58"/>
  <c r="BH18" i="58"/>
  <c r="BI18" i="58"/>
  <c r="BH17" i="58"/>
  <c r="BI17" i="58"/>
  <c r="BJ17" i="58"/>
  <c r="BK17" i="58"/>
  <c r="BL17" i="58"/>
  <c r="BM17" i="58"/>
  <c r="BN17" i="58"/>
  <c r="BO17" i="58"/>
  <c r="BP17" i="58"/>
  <c r="BQ17" i="58"/>
  <c r="BR17" i="58"/>
  <c r="BS17" i="58"/>
  <c r="BH16" i="58"/>
  <c r="BI16" i="58"/>
  <c r="BJ16" i="58"/>
  <c r="BK16" i="58"/>
  <c r="BL16" i="58"/>
  <c r="BM16" i="58"/>
  <c r="BN16" i="58"/>
  <c r="BO16" i="58"/>
  <c r="BP16" i="58"/>
  <c r="BQ16" i="58"/>
  <c r="BR16" i="58"/>
  <c r="BS16" i="58"/>
  <c r="BH15" i="58"/>
  <c r="BI15" i="58"/>
  <c r="BJ15" i="58"/>
  <c r="BK15" i="58"/>
  <c r="BL15" i="58"/>
  <c r="BM15" i="58"/>
  <c r="BN15" i="58"/>
  <c r="BO15" i="58"/>
  <c r="BP15" i="58"/>
  <c r="BQ15" i="58"/>
  <c r="BR15" i="58"/>
  <c r="BS15" i="58"/>
  <c r="BH14" i="58"/>
  <c r="BI14" i="58"/>
  <c r="BJ14" i="58"/>
  <c r="BK14" i="58"/>
  <c r="BL14" i="58"/>
  <c r="BM14" i="58"/>
  <c r="BN14" i="58"/>
  <c r="BO14" i="58"/>
  <c r="BP14" i="58"/>
  <c r="BQ14" i="58"/>
  <c r="BR14" i="58"/>
  <c r="BS14" i="58"/>
  <c r="BH13" i="58"/>
  <c r="BI13" i="58"/>
  <c r="BJ13" i="58"/>
  <c r="BK13" i="58"/>
  <c r="BL13" i="58"/>
  <c r="BM13" i="58"/>
  <c r="BN13" i="58"/>
  <c r="BO13" i="58"/>
  <c r="BP13" i="58"/>
  <c r="BQ13" i="58"/>
  <c r="BR13" i="58"/>
  <c r="BS13" i="58"/>
  <c r="BT12" i="58"/>
  <c r="BT11" i="58"/>
  <c r="BT10" i="58"/>
  <c r="BH9" i="58"/>
  <c r="BI9" i="58"/>
  <c r="BJ9" i="58"/>
  <c r="BK9" i="58"/>
  <c r="BL9" i="58"/>
  <c r="BM9" i="58"/>
  <c r="BN9" i="58"/>
  <c r="BO9" i="58"/>
  <c r="BP9" i="58"/>
  <c r="BQ9" i="58"/>
  <c r="BR9" i="58"/>
  <c r="BS9" i="58"/>
  <c r="BT8" i="58"/>
  <c r="BT7" i="58"/>
  <c r="BT6" i="58"/>
  <c r="BT5" i="58"/>
  <c r="BT4" i="58"/>
  <c r="M34" i="59"/>
  <c r="N34" i="59"/>
  <c r="O34" i="59"/>
  <c r="P34" i="59"/>
  <c r="Q34" i="59"/>
  <c r="R34" i="59"/>
  <c r="S34" i="59"/>
  <c r="T34" i="59"/>
  <c r="U34" i="59"/>
  <c r="V34" i="59"/>
  <c r="M33" i="59"/>
  <c r="N33" i="59"/>
  <c r="O33" i="59"/>
  <c r="P33" i="59"/>
  <c r="Q33" i="59"/>
  <c r="R33" i="59"/>
  <c r="S33" i="59"/>
  <c r="T33" i="59"/>
  <c r="U33" i="59"/>
  <c r="V33" i="59"/>
  <c r="M32" i="59"/>
  <c r="N32" i="59"/>
  <c r="O32" i="59"/>
  <c r="P32" i="59"/>
  <c r="Q32" i="59"/>
  <c r="R32" i="59"/>
  <c r="S32" i="59"/>
  <c r="T32" i="59"/>
  <c r="U32" i="59"/>
  <c r="V32" i="59"/>
  <c r="M31" i="59"/>
  <c r="N31" i="59"/>
  <c r="O31" i="59"/>
  <c r="P31" i="59"/>
  <c r="Q31" i="59"/>
  <c r="R31" i="59"/>
  <c r="S31" i="59"/>
  <c r="T31" i="59"/>
  <c r="U31" i="59"/>
  <c r="V31" i="59"/>
  <c r="M30" i="59"/>
  <c r="N30" i="59"/>
  <c r="O30" i="59"/>
  <c r="P30" i="59"/>
  <c r="Q30" i="59"/>
  <c r="R30" i="59"/>
  <c r="S30" i="59"/>
  <c r="T30" i="59"/>
  <c r="U30" i="59"/>
  <c r="V30" i="59"/>
  <c r="M29" i="59"/>
  <c r="N29" i="59"/>
  <c r="O29" i="59"/>
  <c r="P29" i="59"/>
  <c r="Q29" i="59"/>
  <c r="R29" i="59"/>
  <c r="S29" i="59"/>
  <c r="T29" i="59"/>
  <c r="U29" i="59"/>
  <c r="V29" i="59"/>
  <c r="M28" i="59"/>
  <c r="N28" i="59"/>
  <c r="O28" i="59"/>
  <c r="P28" i="59"/>
  <c r="Q28" i="59"/>
  <c r="R28" i="59"/>
  <c r="S28" i="59"/>
  <c r="T28" i="59"/>
  <c r="U28" i="59"/>
  <c r="M18" i="59"/>
  <c r="M27" i="59"/>
  <c r="N18" i="59"/>
  <c r="N27" i="59" s="1"/>
  <c r="O18" i="59"/>
  <c r="O27" i="59"/>
  <c r="P18" i="59"/>
  <c r="P27" i="59" s="1"/>
  <c r="Q18" i="59"/>
  <c r="Q27" i="59"/>
  <c r="R18" i="59"/>
  <c r="R27" i="59" s="1"/>
  <c r="S18" i="59"/>
  <c r="S27" i="59"/>
  <c r="T18" i="59"/>
  <c r="T27" i="59" s="1"/>
  <c r="U27" i="59"/>
  <c r="V27" i="59"/>
  <c r="W26" i="59"/>
  <c r="W25" i="59"/>
  <c r="W24" i="59"/>
  <c r="W23" i="59"/>
  <c r="W22" i="59"/>
  <c r="W21" i="59"/>
  <c r="W20" i="59"/>
  <c r="W19" i="59"/>
  <c r="K18" i="59"/>
  <c r="L18" i="59"/>
  <c r="K17" i="59"/>
  <c r="L17" i="59"/>
  <c r="M17" i="59"/>
  <c r="N17" i="59"/>
  <c r="O17" i="59"/>
  <c r="P17" i="59"/>
  <c r="Q17" i="59"/>
  <c r="R17" i="59"/>
  <c r="S17" i="59"/>
  <c r="T17" i="59"/>
  <c r="U17" i="59"/>
  <c r="V17" i="59"/>
  <c r="K16" i="59"/>
  <c r="L16" i="59"/>
  <c r="M16" i="59"/>
  <c r="N16" i="59"/>
  <c r="O16" i="59"/>
  <c r="P16" i="59"/>
  <c r="Q16" i="59"/>
  <c r="R16" i="59"/>
  <c r="S16" i="59"/>
  <c r="T16" i="59"/>
  <c r="U16" i="59"/>
  <c r="V16" i="59"/>
  <c r="K15" i="59"/>
  <c r="L15" i="59"/>
  <c r="M15" i="59"/>
  <c r="N15" i="59"/>
  <c r="O15" i="59"/>
  <c r="P15" i="59"/>
  <c r="Q15" i="59"/>
  <c r="R15" i="59"/>
  <c r="S15" i="59"/>
  <c r="T15" i="59"/>
  <c r="U15" i="59"/>
  <c r="V15" i="59"/>
  <c r="K14" i="59"/>
  <c r="L14" i="59"/>
  <c r="M14" i="59"/>
  <c r="N14" i="59"/>
  <c r="O14" i="59"/>
  <c r="P14" i="59"/>
  <c r="Q14" i="59"/>
  <c r="R14" i="59"/>
  <c r="S14" i="59"/>
  <c r="T14" i="59"/>
  <c r="U14" i="59"/>
  <c r="V14" i="59"/>
  <c r="K13" i="59"/>
  <c r="L13" i="59"/>
  <c r="M13" i="59"/>
  <c r="N13" i="59"/>
  <c r="O13" i="59"/>
  <c r="P13" i="59"/>
  <c r="Q13" i="59"/>
  <c r="R13" i="59"/>
  <c r="S13" i="59"/>
  <c r="T13" i="59"/>
  <c r="U13" i="59"/>
  <c r="V13" i="59"/>
  <c r="W12" i="59"/>
  <c r="W11" i="59"/>
  <c r="W10" i="59"/>
  <c r="K9" i="59"/>
  <c r="L9" i="59"/>
  <c r="M9" i="59"/>
  <c r="N9" i="59"/>
  <c r="O9" i="59"/>
  <c r="P9" i="59"/>
  <c r="Q9" i="59"/>
  <c r="R9" i="59"/>
  <c r="S9" i="59"/>
  <c r="T9" i="59"/>
  <c r="U9" i="59"/>
  <c r="V9" i="59"/>
  <c r="W8" i="59"/>
  <c r="W7" i="59"/>
  <c r="W6" i="59"/>
  <c r="W5" i="59"/>
  <c r="W4" i="59"/>
  <c r="F10" i="57"/>
  <c r="D10" i="57"/>
  <c r="B10" i="57"/>
  <c r="C10" i="57" s="1"/>
  <c r="G9" i="57"/>
  <c r="G8" i="57"/>
  <c r="G7" i="57"/>
  <c r="G6" i="57"/>
  <c r="G5" i="57"/>
  <c r="G4" i="57"/>
  <c r="G3" i="57"/>
  <c r="F10" i="56"/>
  <c r="D10" i="56"/>
  <c r="E7" i="56" s="1"/>
  <c r="E10" i="56"/>
  <c r="B10" i="56"/>
  <c r="C7" i="56" s="1"/>
  <c r="G9" i="56"/>
  <c r="G8" i="56"/>
  <c r="G7" i="56"/>
  <c r="G6" i="56"/>
  <c r="G5" i="56"/>
  <c r="G4" i="56"/>
  <c r="G3" i="56"/>
  <c r="Q751" i="61"/>
  <c r="C6" i="57"/>
  <c r="E3" i="56"/>
  <c r="E4" i="56"/>
  <c r="E8" i="56"/>
  <c r="E5" i="56"/>
  <c r="E6" i="56"/>
  <c r="C9" i="56"/>
  <c r="AO755" i="61"/>
  <c r="AN755" i="61"/>
  <c r="AO754" i="61"/>
  <c r="AN754" i="61"/>
  <c r="AO753" i="61"/>
  <c r="AN753" i="61"/>
  <c r="AO756" i="61"/>
  <c r="AN756" i="61"/>
  <c r="AO752" i="61"/>
  <c r="AN752" i="61"/>
  <c r="AO778" i="61"/>
  <c r="AN778" i="61"/>
  <c r="AO777" i="61"/>
  <c r="AN777" i="61"/>
  <c r="AO764" i="61"/>
  <c r="AN764" i="61"/>
  <c r="AO763" i="61"/>
  <c r="AN763" i="61"/>
  <c r="AO762" i="61"/>
  <c r="AN762" i="61"/>
  <c r="AO751" i="61"/>
  <c r="AN751" i="61"/>
  <c r="AO776" i="61"/>
  <c r="AN776" i="61"/>
  <c r="AO749" i="61"/>
  <c r="AN749" i="61"/>
  <c r="AO787" i="61"/>
  <c r="AN787" i="61"/>
  <c r="AO748" i="61"/>
  <c r="AN748" i="61"/>
  <c r="AO747" i="61"/>
  <c r="AN747" i="61"/>
  <c r="AO786" i="61"/>
  <c r="AN786" i="61"/>
  <c r="AO761" i="61"/>
  <c r="AN761" i="61"/>
  <c r="AO775" i="61"/>
  <c r="AN775" i="61"/>
  <c r="AO774" i="61"/>
  <c r="AN774" i="61"/>
  <c r="AN773" i="61"/>
  <c r="AO772" i="61"/>
  <c r="AN772" i="61"/>
  <c r="AO771" i="61"/>
  <c r="AN771" i="61"/>
  <c r="AO760" i="61"/>
  <c r="AN760" i="61"/>
  <c r="AO785" i="61"/>
  <c r="AN785" i="61"/>
  <c r="AO784" i="61"/>
  <c r="AN784" i="61"/>
  <c r="AO770" i="61"/>
  <c r="AN770" i="61"/>
  <c r="AO759" i="61"/>
  <c r="AN759" i="61"/>
  <c r="AO769" i="61"/>
  <c r="AN769" i="61"/>
  <c r="AO783" i="61"/>
  <c r="AN783" i="61"/>
  <c r="AO782" i="61"/>
  <c r="AN782" i="61"/>
  <c r="AO768" i="61"/>
  <c r="AN768" i="61"/>
  <c r="AO767" i="61"/>
  <c r="AN767" i="61"/>
  <c r="AO781" i="61"/>
  <c r="AN781" i="61"/>
  <c r="AO780" i="61"/>
  <c r="AN780" i="61"/>
  <c r="AO766" i="61"/>
  <c r="AN766" i="61"/>
  <c r="AO779" i="61"/>
  <c r="AN779" i="61"/>
  <c r="AO746" i="61"/>
  <c r="AN746" i="61"/>
  <c r="AP745" i="61"/>
  <c r="AO745" i="61"/>
  <c r="AN745" i="61"/>
  <c r="AO744" i="61"/>
  <c r="AN744" i="61"/>
  <c r="AO743" i="61"/>
  <c r="AN743" i="61"/>
  <c r="AO742" i="61"/>
  <c r="AN742" i="61"/>
  <c r="AO757" i="61"/>
  <c r="AN757" i="61"/>
  <c r="AP742" i="61"/>
  <c r="AP743" i="61"/>
  <c r="AP744" i="61"/>
  <c r="AP746" i="61"/>
  <c r="AP747" i="61"/>
  <c r="AP748" i="61"/>
  <c r="AP749" i="61"/>
  <c r="AP750" i="61"/>
  <c r="AP752" i="61"/>
  <c r="AP753" i="61"/>
  <c r="AP754" i="61"/>
  <c r="AP755" i="61"/>
  <c r="AP756" i="61"/>
  <c r="AP757" i="61"/>
  <c r="AP759" i="61"/>
  <c r="AP760" i="61"/>
  <c r="AP761" i="61"/>
  <c r="AP762" i="61"/>
  <c r="AP763" i="61"/>
  <c r="AP764" i="61"/>
  <c r="AP766" i="61"/>
  <c r="AP767" i="61"/>
  <c r="AP768" i="61"/>
  <c r="AP769" i="61"/>
  <c r="AP770" i="61"/>
  <c r="AP771" i="61"/>
  <c r="AP772" i="61"/>
  <c r="AO773" i="61"/>
  <c r="AP773" i="61"/>
  <c r="AP774" i="61"/>
  <c r="AP775" i="61"/>
  <c r="AP776" i="61"/>
  <c r="AP777" i="61"/>
  <c r="AP778" i="61"/>
  <c r="AP779" i="61"/>
  <c r="AP780" i="61"/>
  <c r="AP781" i="61"/>
  <c r="AP782" i="61"/>
  <c r="AP783" i="61"/>
  <c r="AP784" i="61"/>
  <c r="AP785" i="61"/>
  <c r="AP786" i="61"/>
  <c r="AP787" i="61"/>
  <c r="AL742" i="61"/>
  <c r="AL743" i="61"/>
  <c r="AL744" i="61"/>
  <c r="AL745" i="61"/>
  <c r="AL746" i="61"/>
  <c r="AL747" i="61"/>
  <c r="AL748" i="61"/>
  <c r="AL749" i="61"/>
  <c r="AL750" i="61"/>
  <c r="AL751" i="61"/>
  <c r="AL752" i="61"/>
  <c r="AL753" i="61"/>
  <c r="AL754" i="61"/>
  <c r="AL755" i="61"/>
  <c r="AL756" i="61"/>
  <c r="AL757" i="61"/>
  <c r="AL758" i="61"/>
  <c r="AL759" i="61"/>
  <c r="AL760" i="61"/>
  <c r="AL761" i="61"/>
  <c r="AL762" i="61"/>
  <c r="AL763" i="61"/>
  <c r="AL764" i="61"/>
  <c r="AL765" i="61"/>
  <c r="AL766" i="61"/>
  <c r="AL767" i="61"/>
  <c r="AL768" i="61"/>
  <c r="AL769" i="61"/>
  <c r="AL770" i="61"/>
  <c r="AL771" i="61"/>
  <c r="AL772" i="61"/>
  <c r="AL773" i="61"/>
  <c r="AL774" i="61"/>
  <c r="AL775" i="61"/>
  <c r="AL776" i="61"/>
  <c r="AL777" i="61"/>
  <c r="AL778" i="61"/>
  <c r="AL779" i="61"/>
  <c r="AL780" i="61"/>
  <c r="AL781" i="61"/>
  <c r="AL782" i="61"/>
  <c r="AL783" i="61"/>
  <c r="AL784" i="61"/>
  <c r="AL785" i="61"/>
  <c r="AL786" i="61"/>
  <c r="AL787" i="61"/>
  <c r="AJ742" i="61"/>
  <c r="AJ743" i="61"/>
  <c r="AJ744" i="61"/>
  <c r="AJ745" i="61"/>
  <c r="AJ746" i="61"/>
  <c r="AJ747" i="61"/>
  <c r="AJ748" i="61"/>
  <c r="AJ749" i="61"/>
  <c r="AJ750" i="61"/>
  <c r="AJ751" i="61"/>
  <c r="AJ752" i="61"/>
  <c r="AJ753" i="61"/>
  <c r="AJ754" i="61"/>
  <c r="AJ755" i="61"/>
  <c r="AJ756" i="61"/>
  <c r="AJ757" i="61"/>
  <c r="AJ758" i="61"/>
  <c r="AJ759" i="61"/>
  <c r="AJ760" i="61"/>
  <c r="AJ761" i="61"/>
  <c r="AJ762" i="61"/>
  <c r="AJ763" i="61"/>
  <c r="AJ764" i="61"/>
  <c r="AJ765" i="61"/>
  <c r="AJ766" i="61"/>
  <c r="AJ767" i="61"/>
  <c r="AJ768" i="61"/>
  <c r="AJ769" i="61"/>
  <c r="AJ770" i="61"/>
  <c r="AJ771" i="61"/>
  <c r="AJ772" i="61"/>
  <c r="AJ773" i="61"/>
  <c r="AJ774" i="61"/>
  <c r="AJ775" i="61"/>
  <c r="AJ776" i="61"/>
  <c r="AJ777" i="61"/>
  <c r="AJ778" i="61"/>
  <c r="AJ779" i="61"/>
  <c r="AJ780" i="61"/>
  <c r="AJ781" i="61"/>
  <c r="AJ782" i="61"/>
  <c r="AJ783" i="61"/>
  <c r="AJ784" i="61"/>
  <c r="AJ785" i="61"/>
  <c r="AJ786" i="61"/>
  <c r="AJ787" i="61"/>
  <c r="AH742" i="61"/>
  <c r="AH743" i="61"/>
  <c r="AH744" i="61"/>
  <c r="AH745" i="61"/>
  <c r="AH746" i="61"/>
  <c r="AH747" i="61"/>
  <c r="AH748" i="61"/>
  <c r="AH749" i="61"/>
  <c r="AH750" i="61"/>
  <c r="AH751" i="61"/>
  <c r="AH752" i="61"/>
  <c r="AH753" i="61"/>
  <c r="AH754" i="61"/>
  <c r="AH755" i="61"/>
  <c r="AH756" i="61"/>
  <c r="AH757" i="61"/>
  <c r="AH758" i="61"/>
  <c r="AH759" i="61"/>
  <c r="AH760" i="61"/>
  <c r="AH761" i="61"/>
  <c r="AH762" i="61"/>
  <c r="AH763" i="61"/>
  <c r="AH764" i="61"/>
  <c r="AH765" i="61"/>
  <c r="AH766" i="61"/>
  <c r="AH767" i="61"/>
  <c r="AH768" i="61"/>
  <c r="AH769" i="61"/>
  <c r="AH770" i="61"/>
  <c r="AH771" i="61"/>
  <c r="AH772" i="61"/>
  <c r="AH773" i="61"/>
  <c r="AH774" i="61"/>
  <c r="AH775" i="61"/>
  <c r="AH776" i="61"/>
  <c r="AH777" i="61"/>
  <c r="AH778" i="61"/>
  <c r="AH779" i="61"/>
  <c r="AH780" i="61"/>
  <c r="AH781" i="61"/>
  <c r="AH782" i="61"/>
  <c r="AH783" i="61"/>
  <c r="AH784" i="61"/>
  <c r="AH785" i="61"/>
  <c r="AH786" i="61"/>
  <c r="AH787" i="61"/>
  <c r="AF742" i="61"/>
  <c r="AF743" i="61"/>
  <c r="AF744" i="61"/>
  <c r="AF745" i="61"/>
  <c r="AF746" i="61"/>
  <c r="AF747" i="61"/>
  <c r="AF748" i="61"/>
  <c r="AF749" i="61"/>
  <c r="AF750" i="61"/>
  <c r="AF751" i="61"/>
  <c r="AF752" i="61"/>
  <c r="AF753" i="61"/>
  <c r="AF754" i="61"/>
  <c r="AF755" i="61"/>
  <c r="AF756" i="61"/>
  <c r="AF757" i="61"/>
  <c r="AF758" i="61"/>
  <c r="AF759" i="61"/>
  <c r="AF760" i="61"/>
  <c r="AF761" i="61"/>
  <c r="AF762" i="61"/>
  <c r="AF763" i="61"/>
  <c r="AF764" i="61"/>
  <c r="AF765" i="61"/>
  <c r="AF766" i="61"/>
  <c r="AF767" i="61"/>
  <c r="AF768" i="61"/>
  <c r="AF769" i="61"/>
  <c r="AF770" i="61"/>
  <c r="AF771" i="61"/>
  <c r="AF772" i="61"/>
  <c r="AF773" i="61"/>
  <c r="AF774" i="61"/>
  <c r="AF775" i="61"/>
  <c r="AF776" i="61"/>
  <c r="AF777" i="61"/>
  <c r="AF778" i="61"/>
  <c r="AF779" i="61"/>
  <c r="AF780" i="61"/>
  <c r="AF781" i="61"/>
  <c r="AF782" i="61"/>
  <c r="AF783" i="61"/>
  <c r="AF784" i="61"/>
  <c r="AF785" i="61"/>
  <c r="AF786" i="61"/>
  <c r="AF787" i="61"/>
  <c r="AC742" i="61"/>
  <c r="AC743" i="61"/>
  <c r="AC744" i="61"/>
  <c r="AC745" i="61"/>
  <c r="AC746" i="61"/>
  <c r="AC747" i="61"/>
  <c r="AC748" i="61"/>
  <c r="AC749" i="61"/>
  <c r="AC750" i="61"/>
  <c r="AC751" i="61"/>
  <c r="AC752" i="61"/>
  <c r="AC753" i="61"/>
  <c r="AC754" i="61"/>
  <c r="AC755" i="61"/>
  <c r="AC756" i="61"/>
  <c r="AC757" i="61"/>
  <c r="AC758" i="61"/>
  <c r="AC759" i="61"/>
  <c r="AC760" i="61"/>
  <c r="AC761" i="61"/>
  <c r="AC762" i="61"/>
  <c r="AC763" i="61"/>
  <c r="AC764" i="61"/>
  <c r="AC765" i="61"/>
  <c r="AC766" i="61"/>
  <c r="AC767" i="61"/>
  <c r="AC768" i="61"/>
  <c r="AC769" i="61"/>
  <c r="AC770" i="61"/>
  <c r="AC771" i="61"/>
  <c r="AC772" i="61"/>
  <c r="AC773" i="61"/>
  <c r="AC774" i="61"/>
  <c r="AC775" i="61"/>
  <c r="AC776" i="61"/>
  <c r="AC777" i="61"/>
  <c r="AC778" i="61"/>
  <c r="AC779" i="61"/>
  <c r="AC780" i="61"/>
  <c r="AC781" i="61"/>
  <c r="AC782" i="61"/>
  <c r="AC783" i="61"/>
  <c r="AC784" i="61"/>
  <c r="AC785" i="61"/>
  <c r="AC786" i="61"/>
  <c r="AC787" i="61"/>
  <c r="AA742" i="61"/>
  <c r="AA743" i="61"/>
  <c r="AA744" i="61"/>
  <c r="AA745" i="61"/>
  <c r="AA746" i="61"/>
  <c r="AA747" i="61"/>
  <c r="AA748" i="61"/>
  <c r="AA749" i="61"/>
  <c r="AA750" i="61"/>
  <c r="AA751" i="61"/>
  <c r="AA752" i="61"/>
  <c r="AA753" i="61"/>
  <c r="AA754" i="61"/>
  <c r="AA755" i="61"/>
  <c r="AA756" i="61"/>
  <c r="AA757" i="61"/>
  <c r="AA758" i="61"/>
  <c r="AA759" i="61"/>
  <c r="AA760" i="61"/>
  <c r="AA761" i="61"/>
  <c r="AA762" i="61"/>
  <c r="AA763" i="61"/>
  <c r="AA764" i="61"/>
  <c r="AA765" i="61"/>
  <c r="AA766" i="61"/>
  <c r="AA767" i="61"/>
  <c r="AA768" i="61"/>
  <c r="AA769" i="61"/>
  <c r="AA770" i="61"/>
  <c r="AA771" i="61"/>
  <c r="AA772" i="61"/>
  <c r="AA773" i="61"/>
  <c r="AA774" i="61"/>
  <c r="AA775" i="61"/>
  <c r="AA776" i="61"/>
  <c r="AA777" i="61"/>
  <c r="AA778" i="61"/>
  <c r="AA779" i="61"/>
  <c r="AA780" i="61"/>
  <c r="AA781" i="61"/>
  <c r="AA782" i="61"/>
  <c r="AA783" i="61"/>
  <c r="AA784" i="61"/>
  <c r="AA785" i="61"/>
  <c r="AA786" i="61"/>
  <c r="AA787" i="61"/>
  <c r="Y742" i="61"/>
  <c r="Y743" i="61"/>
  <c r="Y744" i="61"/>
  <c r="Y745" i="61"/>
  <c r="Y746" i="61"/>
  <c r="Y747" i="61"/>
  <c r="Y748" i="61"/>
  <c r="Y749" i="61"/>
  <c r="Y750" i="61"/>
  <c r="Y751" i="61"/>
  <c r="Y752" i="61"/>
  <c r="Y753" i="61"/>
  <c r="Y754" i="61"/>
  <c r="Y755" i="61"/>
  <c r="Y756" i="61"/>
  <c r="Y757" i="61"/>
  <c r="Y758" i="61"/>
  <c r="Y759" i="61"/>
  <c r="Y760" i="61"/>
  <c r="Y761" i="61"/>
  <c r="Y762" i="61"/>
  <c r="Y763" i="61"/>
  <c r="Y764" i="61"/>
  <c r="Y765" i="61"/>
  <c r="Y766" i="61"/>
  <c r="Y767" i="61"/>
  <c r="Y768" i="61"/>
  <c r="Y769" i="61"/>
  <c r="Y770" i="61"/>
  <c r="Y771" i="61"/>
  <c r="Y772" i="61"/>
  <c r="Y773" i="61"/>
  <c r="Y774" i="61"/>
  <c r="Y775" i="61"/>
  <c r="Y776" i="61"/>
  <c r="Y777" i="61"/>
  <c r="Y778" i="61"/>
  <c r="Y779" i="61"/>
  <c r="Y780" i="61"/>
  <c r="Y781" i="61"/>
  <c r="Y782" i="61"/>
  <c r="Y783" i="61"/>
  <c r="Y784" i="61"/>
  <c r="Y785" i="61"/>
  <c r="Y786" i="61"/>
  <c r="Y787" i="61"/>
  <c r="W742" i="61"/>
  <c r="W743" i="61"/>
  <c r="W744" i="61"/>
  <c r="W745" i="61"/>
  <c r="W746" i="61"/>
  <c r="W747" i="61"/>
  <c r="W748" i="61"/>
  <c r="W749" i="61"/>
  <c r="W750" i="61"/>
  <c r="W751" i="61"/>
  <c r="W752" i="61"/>
  <c r="W753" i="61"/>
  <c r="W754" i="61"/>
  <c r="W755" i="61"/>
  <c r="W756" i="61"/>
  <c r="W757" i="61"/>
  <c r="W758" i="61"/>
  <c r="W759" i="61"/>
  <c r="W760" i="61"/>
  <c r="W761" i="61"/>
  <c r="W762" i="61"/>
  <c r="W763" i="61"/>
  <c r="W764" i="61"/>
  <c r="W765" i="61"/>
  <c r="W766" i="61"/>
  <c r="W767" i="61"/>
  <c r="W768" i="61"/>
  <c r="W769" i="61"/>
  <c r="W770" i="61"/>
  <c r="W771" i="61"/>
  <c r="W772" i="61"/>
  <c r="W773" i="61"/>
  <c r="W774" i="61"/>
  <c r="W775" i="61"/>
  <c r="W776" i="61"/>
  <c r="W777" i="61"/>
  <c r="W778" i="61"/>
  <c r="W779" i="61"/>
  <c r="W780" i="61"/>
  <c r="W781" i="61"/>
  <c r="W782" i="61"/>
  <c r="W783" i="61"/>
  <c r="W784" i="61"/>
  <c r="W785" i="61"/>
  <c r="W786" i="61"/>
  <c r="W787" i="61"/>
  <c r="O742" i="61"/>
  <c r="P742" i="61"/>
  <c r="Q742" i="61"/>
  <c r="R742" i="61"/>
  <c r="S742" i="61"/>
  <c r="T742" i="61"/>
  <c r="AM742" i="61" s="1"/>
  <c r="O743" i="61"/>
  <c r="P743" i="61"/>
  <c r="Q743" i="61"/>
  <c r="R743" i="61"/>
  <c r="S743" i="61"/>
  <c r="T743" i="61"/>
  <c r="AM743" i="61" s="1"/>
  <c r="O744" i="61"/>
  <c r="P744" i="61"/>
  <c r="Q744" i="61"/>
  <c r="R744" i="61"/>
  <c r="S744" i="61"/>
  <c r="T744" i="61"/>
  <c r="AM744" i="61" s="1"/>
  <c r="O745" i="61"/>
  <c r="P745" i="61"/>
  <c r="Q745" i="61"/>
  <c r="R745" i="61"/>
  <c r="S745" i="61"/>
  <c r="T745" i="61"/>
  <c r="AM745" i="61" s="1"/>
  <c r="O746" i="61"/>
  <c r="P746" i="61"/>
  <c r="Q746" i="61"/>
  <c r="R746" i="61"/>
  <c r="S746" i="61"/>
  <c r="T746" i="61"/>
  <c r="AM746" i="61" s="1"/>
  <c r="O747" i="61"/>
  <c r="P747" i="61"/>
  <c r="Q747" i="61"/>
  <c r="R747" i="61"/>
  <c r="S747" i="61"/>
  <c r="T747" i="61"/>
  <c r="AM747" i="61" s="1"/>
  <c r="O748" i="61"/>
  <c r="P748" i="61"/>
  <c r="Q748" i="61"/>
  <c r="R748" i="61"/>
  <c r="S748" i="61"/>
  <c r="T748" i="61"/>
  <c r="AM748" i="61" s="1"/>
  <c r="O749" i="61"/>
  <c r="P749" i="61"/>
  <c r="Q749" i="61"/>
  <c r="R749" i="61"/>
  <c r="S749" i="61"/>
  <c r="T749" i="61"/>
  <c r="AM749" i="61" s="1"/>
  <c r="O750" i="61"/>
  <c r="P750" i="61"/>
  <c r="Q750" i="61"/>
  <c r="R750" i="61"/>
  <c r="T750" i="61"/>
  <c r="O751" i="61"/>
  <c r="T751" i="61"/>
  <c r="AM751" i="61" s="1"/>
  <c r="O752" i="61"/>
  <c r="P752" i="61"/>
  <c r="Q752" i="61"/>
  <c r="R752" i="61"/>
  <c r="S752" i="61"/>
  <c r="T752" i="61"/>
  <c r="AM752" i="61" s="1"/>
  <c r="O753" i="61"/>
  <c r="P753" i="61"/>
  <c r="Q753" i="61"/>
  <c r="R753" i="61"/>
  <c r="S753" i="61"/>
  <c r="T753" i="61"/>
  <c r="AM753" i="61" s="1"/>
  <c r="O754" i="61"/>
  <c r="P754" i="61"/>
  <c r="Q754" i="61"/>
  <c r="R754" i="61"/>
  <c r="S754" i="61"/>
  <c r="T754" i="61"/>
  <c r="AM754" i="61" s="1"/>
  <c r="O755" i="61"/>
  <c r="P755" i="61"/>
  <c r="Q755" i="61"/>
  <c r="R755" i="61"/>
  <c r="S755" i="61"/>
  <c r="T755" i="61"/>
  <c r="AM755" i="61" s="1"/>
  <c r="O756" i="61"/>
  <c r="P756" i="61"/>
  <c r="Q756" i="61"/>
  <c r="R756" i="61"/>
  <c r="S756" i="61"/>
  <c r="T756" i="61"/>
  <c r="AM756" i="61" s="1"/>
  <c r="O757" i="61"/>
  <c r="P757" i="61"/>
  <c r="Q757" i="61"/>
  <c r="R757" i="61"/>
  <c r="S757" i="61"/>
  <c r="T757" i="61"/>
  <c r="AM757" i="61" s="1"/>
  <c r="O758" i="61"/>
  <c r="P758" i="61"/>
  <c r="Q758" i="61"/>
  <c r="R758" i="61"/>
  <c r="T758" i="61"/>
  <c r="O759" i="61"/>
  <c r="P759" i="61"/>
  <c r="Q759" i="61"/>
  <c r="R759" i="61"/>
  <c r="S759" i="61"/>
  <c r="T759" i="61"/>
  <c r="AM759" i="61" s="1"/>
  <c r="O760" i="61"/>
  <c r="P760" i="61"/>
  <c r="Q760" i="61"/>
  <c r="R760" i="61"/>
  <c r="S760" i="61"/>
  <c r="T760" i="61"/>
  <c r="AM760" i="61" s="1"/>
  <c r="O761" i="61"/>
  <c r="P761" i="61"/>
  <c r="Q761" i="61"/>
  <c r="R761" i="61"/>
  <c r="S761" i="61"/>
  <c r="T761" i="61"/>
  <c r="AM761" i="61" s="1"/>
  <c r="O762" i="61"/>
  <c r="P762" i="61"/>
  <c r="Q762" i="61"/>
  <c r="R762" i="61"/>
  <c r="S762" i="61"/>
  <c r="T762" i="61"/>
  <c r="AM762" i="61" s="1"/>
  <c r="O763" i="61"/>
  <c r="P763" i="61"/>
  <c r="Q763" i="61"/>
  <c r="R763" i="61"/>
  <c r="S763" i="61"/>
  <c r="T763" i="61"/>
  <c r="AM763" i="61" s="1"/>
  <c r="O764" i="61"/>
  <c r="P764" i="61"/>
  <c r="Q764" i="61"/>
  <c r="R764" i="61"/>
  <c r="S764" i="61"/>
  <c r="T764" i="61"/>
  <c r="AM764" i="61"/>
  <c r="O765" i="61"/>
  <c r="P765" i="61"/>
  <c r="Q765" i="61"/>
  <c r="R765" i="61"/>
  <c r="S765" i="61"/>
  <c r="T765" i="61"/>
  <c r="O766" i="61"/>
  <c r="P766" i="61"/>
  <c r="Q766" i="61"/>
  <c r="R766" i="61"/>
  <c r="S766" i="61"/>
  <c r="T766" i="61"/>
  <c r="AM766" i="61" s="1"/>
  <c r="O767" i="61"/>
  <c r="P767" i="61"/>
  <c r="Q767" i="61"/>
  <c r="R767" i="61"/>
  <c r="S767" i="61"/>
  <c r="T767" i="61"/>
  <c r="AM767" i="61" s="1"/>
  <c r="O768" i="61"/>
  <c r="P768" i="61"/>
  <c r="Q768" i="61"/>
  <c r="R768" i="61"/>
  <c r="S768" i="61"/>
  <c r="T768" i="61"/>
  <c r="AM768" i="61" s="1"/>
  <c r="O769" i="61"/>
  <c r="P769" i="61"/>
  <c r="Q769" i="61"/>
  <c r="R769" i="61"/>
  <c r="S769" i="61"/>
  <c r="T769" i="61"/>
  <c r="AM769" i="61" s="1"/>
  <c r="O770" i="61"/>
  <c r="P770" i="61"/>
  <c r="Q770" i="61"/>
  <c r="R770" i="61"/>
  <c r="S770" i="61"/>
  <c r="T770" i="61"/>
  <c r="AM770" i="61" s="1"/>
  <c r="O771" i="61"/>
  <c r="P771" i="61"/>
  <c r="Q771" i="61"/>
  <c r="R771" i="61"/>
  <c r="S771" i="61"/>
  <c r="T771" i="61"/>
  <c r="AM771" i="61" s="1"/>
  <c r="O772" i="61"/>
  <c r="P772" i="61"/>
  <c r="Q772" i="61"/>
  <c r="R772" i="61"/>
  <c r="S772" i="61"/>
  <c r="T772" i="61"/>
  <c r="AM772" i="61"/>
  <c r="O773" i="61"/>
  <c r="P773" i="61"/>
  <c r="Q773" i="61"/>
  <c r="R773" i="61"/>
  <c r="S773" i="61"/>
  <c r="T773" i="61"/>
  <c r="AM773" i="61" s="1"/>
  <c r="O774" i="61"/>
  <c r="P774" i="61"/>
  <c r="Q774" i="61"/>
  <c r="R774" i="61"/>
  <c r="S774" i="61"/>
  <c r="T774" i="61"/>
  <c r="AM774" i="61" s="1"/>
  <c r="O775" i="61"/>
  <c r="P775" i="61"/>
  <c r="Q775" i="61"/>
  <c r="R775" i="61"/>
  <c r="S775" i="61"/>
  <c r="T775" i="61"/>
  <c r="AM775" i="61" s="1"/>
  <c r="O776" i="61"/>
  <c r="P776" i="61"/>
  <c r="Q776" i="61"/>
  <c r="R776" i="61"/>
  <c r="S776" i="61"/>
  <c r="T776" i="61"/>
  <c r="AM776" i="61" s="1"/>
  <c r="O777" i="61"/>
  <c r="P777" i="61"/>
  <c r="Q777" i="61"/>
  <c r="R777" i="61"/>
  <c r="S777" i="61"/>
  <c r="T777" i="61"/>
  <c r="AM777" i="61" s="1"/>
  <c r="O778" i="61"/>
  <c r="P778" i="61"/>
  <c r="Q778" i="61"/>
  <c r="R778" i="61"/>
  <c r="S778" i="61"/>
  <c r="T778" i="61"/>
  <c r="AM778" i="61" s="1"/>
  <c r="O779" i="61"/>
  <c r="P779" i="61"/>
  <c r="Q779" i="61"/>
  <c r="R779" i="61"/>
  <c r="S779" i="61"/>
  <c r="T779" i="61"/>
  <c r="AM779" i="61" s="1"/>
  <c r="O780" i="61"/>
  <c r="P780" i="61"/>
  <c r="Q780" i="61"/>
  <c r="R780" i="61"/>
  <c r="S780" i="61"/>
  <c r="T780" i="61"/>
  <c r="AM780" i="61" s="1"/>
  <c r="O781" i="61"/>
  <c r="P781" i="61"/>
  <c r="Q781" i="61"/>
  <c r="R781" i="61"/>
  <c r="S781" i="61"/>
  <c r="T781" i="61"/>
  <c r="AM781" i="61" s="1"/>
  <c r="O782" i="61"/>
  <c r="P782" i="61"/>
  <c r="Q782" i="61"/>
  <c r="R782" i="61"/>
  <c r="S782" i="61"/>
  <c r="T782" i="61"/>
  <c r="AM782" i="61" s="1"/>
  <c r="O783" i="61"/>
  <c r="P783" i="61"/>
  <c r="Q783" i="61"/>
  <c r="R783" i="61"/>
  <c r="S783" i="61"/>
  <c r="T783" i="61"/>
  <c r="AM783" i="61" s="1"/>
  <c r="O784" i="61"/>
  <c r="P784" i="61"/>
  <c r="Q784" i="61"/>
  <c r="R784" i="61"/>
  <c r="S784" i="61"/>
  <c r="T784" i="61"/>
  <c r="AM784" i="61" s="1"/>
  <c r="O785" i="61"/>
  <c r="P785" i="61"/>
  <c r="Q785" i="61"/>
  <c r="R785" i="61"/>
  <c r="S785" i="61"/>
  <c r="T785" i="61"/>
  <c r="AM785" i="61" s="1"/>
  <c r="O786" i="61"/>
  <c r="P786" i="61"/>
  <c r="Q786" i="61"/>
  <c r="R786" i="61"/>
  <c r="S786" i="61"/>
  <c r="T786" i="61"/>
  <c r="AM786" i="61" s="1"/>
  <c r="O787" i="61"/>
  <c r="P787" i="61"/>
  <c r="Q787" i="61"/>
  <c r="R787" i="61"/>
  <c r="S787" i="61"/>
  <c r="T787" i="61"/>
  <c r="AM787" i="61" s="1"/>
  <c r="K742" i="61"/>
  <c r="K743" i="61"/>
  <c r="K744" i="61"/>
  <c r="K745" i="61"/>
  <c r="K746" i="61"/>
  <c r="K747" i="61"/>
  <c r="K748" i="61"/>
  <c r="K749" i="61"/>
  <c r="K750" i="61"/>
  <c r="K751" i="61"/>
  <c r="K752" i="61"/>
  <c r="K753" i="61"/>
  <c r="K754" i="61"/>
  <c r="K755" i="61"/>
  <c r="K756" i="61"/>
  <c r="K757" i="61"/>
  <c r="K759" i="61"/>
  <c r="K760" i="61"/>
  <c r="K761" i="61"/>
  <c r="K762" i="61"/>
  <c r="K763" i="61"/>
  <c r="K764" i="61"/>
  <c r="K765" i="61"/>
  <c r="K766" i="61"/>
  <c r="K767" i="61"/>
  <c r="K768" i="61"/>
  <c r="K769" i="61"/>
  <c r="K770" i="61"/>
  <c r="K771" i="61"/>
  <c r="K772" i="61"/>
  <c r="K773" i="61"/>
  <c r="K774" i="61"/>
  <c r="K775" i="61"/>
  <c r="K776" i="61"/>
  <c r="K777" i="61"/>
  <c r="K778" i="61"/>
  <c r="K779" i="61"/>
  <c r="K780" i="61"/>
  <c r="K781" i="61"/>
  <c r="K782" i="61"/>
  <c r="K783" i="61"/>
  <c r="K784" i="61"/>
  <c r="K785" i="61"/>
  <c r="K786" i="61"/>
  <c r="K787" i="61"/>
  <c r="AP741" i="61"/>
  <c r="AO741" i="61"/>
  <c r="AN741" i="61"/>
  <c r="AL741" i="61"/>
  <c r="AJ741" i="61"/>
  <c r="AH741" i="61"/>
  <c r="AF741" i="61"/>
  <c r="AC741" i="61"/>
  <c r="AA741" i="61"/>
  <c r="Y741" i="61"/>
  <c r="W741" i="61"/>
  <c r="T741" i="61"/>
  <c r="AM741" i="61" s="1"/>
  <c r="S741" i="61"/>
  <c r="R741" i="61"/>
  <c r="Q741" i="61"/>
  <c r="P741" i="61"/>
  <c r="O741" i="61"/>
  <c r="K741" i="61"/>
  <c r="AP740" i="61"/>
  <c r="AO740" i="61"/>
  <c r="AN740" i="61"/>
  <c r="AL740" i="61"/>
  <c r="AJ740" i="61"/>
  <c r="AH740" i="61"/>
  <c r="AF740" i="61"/>
  <c r="AC740" i="61"/>
  <c r="AA740" i="61"/>
  <c r="Y740" i="61"/>
  <c r="W740" i="61"/>
  <c r="T740" i="61"/>
  <c r="AM740" i="61" s="1"/>
  <c r="S740" i="61"/>
  <c r="R740" i="61"/>
  <c r="Q740" i="61"/>
  <c r="P740" i="61"/>
  <c r="O740" i="61"/>
  <c r="K740" i="61"/>
  <c r="AP739" i="61"/>
  <c r="AO739" i="61"/>
  <c r="AN739" i="61"/>
  <c r="AL739" i="61"/>
  <c r="AJ739" i="61"/>
  <c r="AH739" i="61"/>
  <c r="AF739" i="61"/>
  <c r="AC739" i="61"/>
  <c r="AA739" i="61"/>
  <c r="Y739" i="61"/>
  <c r="W739" i="61"/>
  <c r="T739" i="61"/>
  <c r="AM739" i="61" s="1"/>
  <c r="S739" i="61"/>
  <c r="R739" i="61"/>
  <c r="Q739" i="61"/>
  <c r="P739" i="61"/>
  <c r="O739" i="61"/>
  <c r="K739" i="61"/>
  <c r="AP738" i="61"/>
  <c r="AO738" i="61"/>
  <c r="AN738" i="61"/>
  <c r="AL738" i="61"/>
  <c r="AJ738" i="61"/>
  <c r="AH738" i="61"/>
  <c r="AF738" i="61"/>
  <c r="AC738" i="61"/>
  <c r="AA738" i="61"/>
  <c r="Y738" i="61"/>
  <c r="W738" i="61"/>
  <c r="T738" i="61"/>
  <c r="AM738" i="61" s="1"/>
  <c r="S738" i="61"/>
  <c r="R738" i="61"/>
  <c r="Q738" i="61"/>
  <c r="P738" i="61"/>
  <c r="O738" i="61"/>
  <c r="K738" i="61"/>
  <c r="AP737" i="61"/>
  <c r="AO737" i="61"/>
  <c r="AN737" i="61"/>
  <c r="AL737" i="61"/>
  <c r="AJ737" i="61"/>
  <c r="AH737" i="61"/>
  <c r="AF737" i="61"/>
  <c r="AC737" i="61"/>
  <c r="AA737" i="61"/>
  <c r="Y737" i="61"/>
  <c r="W737" i="61"/>
  <c r="T737" i="61"/>
  <c r="AM737" i="61" s="1"/>
  <c r="S737" i="61"/>
  <c r="R737" i="61"/>
  <c r="Q737" i="61"/>
  <c r="P737" i="61"/>
  <c r="O737" i="61"/>
  <c r="K737" i="61"/>
  <c r="AP736" i="61"/>
  <c r="AO736" i="61"/>
  <c r="AN736" i="61"/>
  <c r="AL736" i="61"/>
  <c r="AJ736" i="61"/>
  <c r="AH736" i="61"/>
  <c r="AF736" i="61"/>
  <c r="AC736" i="61"/>
  <c r="AA736" i="61"/>
  <c r="Y736" i="61"/>
  <c r="W736" i="61"/>
  <c r="T736" i="61"/>
  <c r="AM736" i="61" s="1"/>
  <c r="S736" i="61"/>
  <c r="R736" i="61"/>
  <c r="Q736" i="61"/>
  <c r="P736" i="61"/>
  <c r="O736" i="61"/>
  <c r="K736" i="61"/>
  <c r="AP735" i="61"/>
  <c r="AO735" i="61"/>
  <c r="AN735" i="61"/>
  <c r="AL735" i="61"/>
  <c r="AJ735" i="61"/>
  <c r="AH735" i="61"/>
  <c r="AF735" i="61"/>
  <c r="AC735" i="61"/>
  <c r="AA735" i="61"/>
  <c r="Y735" i="61"/>
  <c r="W735" i="61"/>
  <c r="T735" i="61"/>
  <c r="AM735" i="61" s="1"/>
  <c r="S735" i="61"/>
  <c r="R735" i="61"/>
  <c r="Q735" i="61"/>
  <c r="P735" i="61"/>
  <c r="O735" i="61"/>
  <c r="K735" i="61"/>
  <c r="AP734" i="61"/>
  <c r="AO734" i="61"/>
  <c r="AN734" i="61"/>
  <c r="AL734" i="61"/>
  <c r="AJ734" i="61"/>
  <c r="AH734" i="61"/>
  <c r="AF734" i="61"/>
  <c r="AC734" i="61"/>
  <c r="AA734" i="61"/>
  <c r="Y734" i="61"/>
  <c r="W734" i="61"/>
  <c r="T734" i="61"/>
  <c r="AM734" i="61" s="1"/>
  <c r="S734" i="61"/>
  <c r="R734" i="61"/>
  <c r="Q734" i="61"/>
  <c r="P734" i="61"/>
  <c r="O734" i="61"/>
  <c r="K734" i="61"/>
  <c r="AP733" i="61"/>
  <c r="AO733" i="61"/>
  <c r="AN733" i="61"/>
  <c r="AL733" i="61"/>
  <c r="AJ733" i="61"/>
  <c r="AH733" i="61"/>
  <c r="AF733" i="61"/>
  <c r="AC733" i="61"/>
  <c r="AA733" i="61"/>
  <c r="Y733" i="61"/>
  <c r="W733" i="61"/>
  <c r="T733" i="61"/>
  <c r="AM733" i="61" s="1"/>
  <c r="S733" i="61"/>
  <c r="R733" i="61"/>
  <c r="Q733" i="61"/>
  <c r="P733" i="61"/>
  <c r="O733" i="61"/>
  <c r="K733" i="61"/>
  <c r="AP732" i="61"/>
  <c r="AO732" i="61"/>
  <c r="AN732" i="61"/>
  <c r="AL732" i="61"/>
  <c r="AJ732" i="61"/>
  <c r="AH732" i="61"/>
  <c r="AF732" i="61"/>
  <c r="AC732" i="61"/>
  <c r="AA732" i="61"/>
  <c r="Y732" i="61"/>
  <c r="W732" i="61"/>
  <c r="T732" i="61"/>
  <c r="AM732" i="61" s="1"/>
  <c r="S732" i="61"/>
  <c r="R732" i="61"/>
  <c r="Q732" i="61"/>
  <c r="P732" i="61"/>
  <c r="O732" i="61"/>
  <c r="K732" i="61"/>
  <c r="AP731" i="61"/>
  <c r="AO731" i="61"/>
  <c r="AN731" i="61"/>
  <c r="AL731" i="61"/>
  <c r="AJ731" i="61"/>
  <c r="AH731" i="61"/>
  <c r="AF731" i="61"/>
  <c r="AC731" i="61"/>
  <c r="AA731" i="61"/>
  <c r="Y731" i="61"/>
  <c r="W731" i="61"/>
  <c r="T731" i="61"/>
  <c r="AM731" i="61" s="1"/>
  <c r="S731" i="61"/>
  <c r="R731" i="61"/>
  <c r="Q731" i="61"/>
  <c r="P731" i="61"/>
  <c r="O731" i="61"/>
  <c r="K731" i="61"/>
  <c r="AP730" i="61"/>
  <c r="AO730" i="61"/>
  <c r="AN730" i="61"/>
  <c r="AL730" i="61"/>
  <c r="AJ730" i="61"/>
  <c r="AH730" i="61"/>
  <c r="AF730" i="61"/>
  <c r="AC730" i="61"/>
  <c r="AA730" i="61"/>
  <c r="Y730" i="61"/>
  <c r="W730" i="61"/>
  <c r="T730" i="61"/>
  <c r="AM730" i="61" s="1"/>
  <c r="S730" i="61"/>
  <c r="R730" i="61"/>
  <c r="Q730" i="61"/>
  <c r="P730" i="61"/>
  <c r="O730" i="61"/>
  <c r="K730" i="61"/>
  <c r="AP729" i="61"/>
  <c r="AO729" i="61"/>
  <c r="AN729" i="61"/>
  <c r="AL729" i="61"/>
  <c r="AJ729" i="61"/>
  <c r="AH729" i="61"/>
  <c r="AF729" i="61"/>
  <c r="AC729" i="61"/>
  <c r="AA729" i="61"/>
  <c r="Y729" i="61"/>
  <c r="W729" i="61"/>
  <c r="T729" i="61"/>
  <c r="AM729" i="61" s="1"/>
  <c r="S729" i="61"/>
  <c r="R729" i="61"/>
  <c r="Q729" i="61"/>
  <c r="P729" i="61"/>
  <c r="O729" i="61"/>
  <c r="K729" i="61"/>
  <c r="AP728" i="61"/>
  <c r="AO728" i="61"/>
  <c r="AN728" i="61"/>
  <c r="AL728" i="61"/>
  <c r="AJ728" i="61"/>
  <c r="AH728" i="61"/>
  <c r="AF728" i="61"/>
  <c r="AC728" i="61"/>
  <c r="AA728" i="61"/>
  <c r="Y728" i="61"/>
  <c r="W728" i="61"/>
  <c r="T728" i="61"/>
  <c r="AM728" i="61" s="1"/>
  <c r="S728" i="61"/>
  <c r="R728" i="61"/>
  <c r="Q728" i="61"/>
  <c r="P728" i="61"/>
  <c r="O728" i="61"/>
  <c r="K728" i="61"/>
  <c r="AP727" i="61"/>
  <c r="AO727" i="61"/>
  <c r="AN727" i="61"/>
  <c r="AL727" i="61"/>
  <c r="AJ727" i="61"/>
  <c r="AH727" i="61"/>
  <c r="AF727" i="61"/>
  <c r="AC727" i="61"/>
  <c r="AA727" i="61"/>
  <c r="Y727" i="61"/>
  <c r="W727" i="61"/>
  <c r="T727" i="61"/>
  <c r="AM727" i="61" s="1"/>
  <c r="S727" i="61"/>
  <c r="R727" i="61"/>
  <c r="Q727" i="61"/>
  <c r="P727" i="61"/>
  <c r="O727" i="61"/>
  <c r="K727" i="61"/>
  <c r="AP726" i="61"/>
  <c r="AO726" i="61"/>
  <c r="AN726" i="61"/>
  <c r="AL726" i="61"/>
  <c r="AJ726" i="61"/>
  <c r="AH726" i="61"/>
  <c r="AF726" i="61"/>
  <c r="AC726" i="61"/>
  <c r="AA726" i="61"/>
  <c r="Y726" i="61"/>
  <c r="W726" i="61"/>
  <c r="T726" i="61"/>
  <c r="AM726" i="61" s="1"/>
  <c r="S726" i="61"/>
  <c r="R726" i="61"/>
  <c r="Q726" i="61"/>
  <c r="P726" i="61"/>
  <c r="O726" i="61"/>
  <c r="K726" i="61"/>
  <c r="AP725" i="61"/>
  <c r="AO725" i="61"/>
  <c r="AN725" i="61"/>
  <c r="AL725" i="61"/>
  <c r="AJ725" i="61"/>
  <c r="AH725" i="61"/>
  <c r="AF725" i="61"/>
  <c r="AC725" i="61"/>
  <c r="AA725" i="61"/>
  <c r="Y725" i="61"/>
  <c r="W725" i="61"/>
  <c r="T725" i="61"/>
  <c r="AM725" i="61" s="1"/>
  <c r="S725" i="61"/>
  <c r="R725" i="61"/>
  <c r="Q725" i="61"/>
  <c r="P725" i="61"/>
  <c r="O725" i="61"/>
  <c r="K725" i="61"/>
  <c r="AP724" i="61"/>
  <c r="AO724" i="61"/>
  <c r="AN724" i="61"/>
  <c r="AL724" i="61"/>
  <c r="AJ724" i="61"/>
  <c r="AH724" i="61"/>
  <c r="AF724" i="61"/>
  <c r="AC724" i="61"/>
  <c r="AA724" i="61"/>
  <c r="Y724" i="61"/>
  <c r="W724" i="61"/>
  <c r="T724" i="61"/>
  <c r="AM724" i="61" s="1"/>
  <c r="S724" i="61"/>
  <c r="R724" i="61"/>
  <c r="Q724" i="61"/>
  <c r="P724" i="61"/>
  <c r="O724" i="61"/>
  <c r="K724" i="61"/>
  <c r="AP723" i="61"/>
  <c r="AO723" i="61"/>
  <c r="AN723" i="61"/>
  <c r="AL723" i="61"/>
  <c r="AJ723" i="61"/>
  <c r="AH723" i="61"/>
  <c r="AF723" i="61"/>
  <c r="AC723" i="61"/>
  <c r="AA723" i="61"/>
  <c r="Y723" i="61"/>
  <c r="W723" i="61"/>
  <c r="T723" i="61"/>
  <c r="AM723" i="61" s="1"/>
  <c r="S723" i="61"/>
  <c r="R723" i="61"/>
  <c r="Q723" i="61"/>
  <c r="P723" i="61"/>
  <c r="O723" i="61"/>
  <c r="K723" i="61"/>
  <c r="AP722" i="61"/>
  <c r="AO722" i="61"/>
  <c r="AN722" i="61"/>
  <c r="AL722" i="61"/>
  <c r="AJ722" i="61"/>
  <c r="AH722" i="61"/>
  <c r="AF722" i="61"/>
  <c r="AC722" i="61"/>
  <c r="AA722" i="61"/>
  <c r="Y722" i="61"/>
  <c r="W722" i="61"/>
  <c r="T722" i="61"/>
  <c r="AM722" i="61" s="1"/>
  <c r="S722" i="61"/>
  <c r="R722" i="61"/>
  <c r="Q722" i="61"/>
  <c r="P722" i="61"/>
  <c r="O722" i="61"/>
  <c r="K722" i="61"/>
  <c r="AP721" i="61"/>
  <c r="AO721" i="61"/>
  <c r="AN721" i="61"/>
  <c r="AL721" i="61"/>
  <c r="AJ721" i="61"/>
  <c r="AH721" i="61"/>
  <c r="AF721" i="61"/>
  <c r="AC721" i="61"/>
  <c r="AA721" i="61"/>
  <c r="Y721" i="61"/>
  <c r="W721" i="61"/>
  <c r="T721" i="61"/>
  <c r="AM721" i="61" s="1"/>
  <c r="S721" i="61"/>
  <c r="R721" i="61"/>
  <c r="Q721" i="61"/>
  <c r="P721" i="61"/>
  <c r="O721" i="61"/>
  <c r="K721" i="61"/>
  <c r="AP720" i="61"/>
  <c r="AO720" i="61"/>
  <c r="AN720" i="61"/>
  <c r="AL720" i="61"/>
  <c r="AJ720" i="61"/>
  <c r="AH720" i="61"/>
  <c r="AF720" i="61"/>
  <c r="AC720" i="61"/>
  <c r="AA720" i="61"/>
  <c r="Y720" i="61"/>
  <c r="W720" i="61"/>
  <c r="T720" i="61"/>
  <c r="AM720" i="61" s="1"/>
  <c r="S720" i="61"/>
  <c r="R720" i="61"/>
  <c r="Q720" i="61"/>
  <c r="P720" i="61"/>
  <c r="O720" i="61"/>
  <c r="K720" i="61"/>
  <c r="AP719" i="61"/>
  <c r="AO719" i="61"/>
  <c r="AN719" i="61"/>
  <c r="AL719" i="61"/>
  <c r="AJ719" i="61"/>
  <c r="AH719" i="61"/>
  <c r="AF719" i="61"/>
  <c r="AC719" i="61"/>
  <c r="AA719" i="61"/>
  <c r="Y719" i="61"/>
  <c r="W719" i="61"/>
  <c r="T719" i="61"/>
  <c r="AM719" i="61" s="1"/>
  <c r="S719" i="61"/>
  <c r="R719" i="61"/>
  <c r="Q719" i="61"/>
  <c r="P719" i="61"/>
  <c r="O719" i="61"/>
  <c r="K719" i="61"/>
  <c r="AP718" i="61"/>
  <c r="AO718" i="61"/>
  <c r="AN718" i="61"/>
  <c r="AL718" i="61"/>
  <c r="AJ718" i="61"/>
  <c r="AH718" i="61"/>
  <c r="AF718" i="61"/>
  <c r="AC718" i="61"/>
  <c r="AA718" i="61"/>
  <c r="Y718" i="61"/>
  <c r="W718" i="61"/>
  <c r="T718" i="61"/>
  <c r="AM718" i="61" s="1"/>
  <c r="S718" i="61"/>
  <c r="R718" i="61"/>
  <c r="Q718" i="61"/>
  <c r="P718" i="61"/>
  <c r="O718" i="61"/>
  <c r="K718" i="61"/>
  <c r="AP717" i="61"/>
  <c r="AO717" i="61"/>
  <c r="AN717" i="61"/>
  <c r="AL717" i="61"/>
  <c r="AJ717" i="61"/>
  <c r="AH717" i="61"/>
  <c r="AF717" i="61"/>
  <c r="AC717" i="61"/>
  <c r="AA717" i="61"/>
  <c r="Y717" i="61"/>
  <c r="W717" i="61"/>
  <c r="T717" i="61"/>
  <c r="AM717" i="61" s="1"/>
  <c r="S717" i="61"/>
  <c r="R717" i="61"/>
  <c r="Q717" i="61"/>
  <c r="P717" i="61"/>
  <c r="O717" i="61"/>
  <c r="K717" i="61"/>
  <c r="AP716" i="61"/>
  <c r="AO716" i="61"/>
  <c r="AN716" i="61"/>
  <c r="AL716" i="61"/>
  <c r="AJ716" i="61"/>
  <c r="AH716" i="61"/>
  <c r="AF716" i="61"/>
  <c r="AC716" i="61"/>
  <c r="AA716" i="61"/>
  <c r="Y716" i="61"/>
  <c r="W716" i="61"/>
  <c r="T716" i="61"/>
  <c r="AM716" i="61" s="1"/>
  <c r="S716" i="61"/>
  <c r="R716" i="61"/>
  <c r="Q716" i="61"/>
  <c r="P716" i="61"/>
  <c r="O716" i="61"/>
  <c r="K716" i="61"/>
  <c r="AP715" i="61"/>
  <c r="AO715" i="61"/>
  <c r="AN715" i="61"/>
  <c r="AL715" i="61"/>
  <c r="AJ715" i="61"/>
  <c r="AH715" i="61"/>
  <c r="AF715" i="61"/>
  <c r="AC715" i="61"/>
  <c r="AA715" i="61"/>
  <c r="Y715" i="61"/>
  <c r="W715" i="61"/>
  <c r="T715" i="61"/>
  <c r="AM715" i="61" s="1"/>
  <c r="S715" i="61"/>
  <c r="R715" i="61"/>
  <c r="Q715" i="61"/>
  <c r="P715" i="61"/>
  <c r="O715" i="61"/>
  <c r="K715" i="61"/>
  <c r="AP714" i="61"/>
  <c r="AO714" i="61"/>
  <c r="AN714" i="61"/>
  <c r="AL714" i="61"/>
  <c r="AJ714" i="61"/>
  <c r="AH714" i="61"/>
  <c r="AF714" i="61"/>
  <c r="AC714" i="61"/>
  <c r="AA714" i="61"/>
  <c r="Y714" i="61"/>
  <c r="W714" i="61"/>
  <c r="T714" i="61"/>
  <c r="AM714" i="61" s="1"/>
  <c r="S714" i="61"/>
  <c r="R714" i="61"/>
  <c r="Q714" i="61"/>
  <c r="P714" i="61"/>
  <c r="O714" i="61"/>
  <c r="K714" i="61"/>
  <c r="AP713" i="61"/>
  <c r="AO713" i="61"/>
  <c r="AN713" i="61"/>
  <c r="AL713" i="61"/>
  <c r="AJ713" i="61"/>
  <c r="AH713" i="61"/>
  <c r="AF713" i="61"/>
  <c r="AC713" i="61"/>
  <c r="AA713" i="61"/>
  <c r="Y713" i="61"/>
  <c r="W713" i="61"/>
  <c r="T713" i="61"/>
  <c r="AM713" i="61" s="1"/>
  <c r="S713" i="61"/>
  <c r="R713" i="61"/>
  <c r="Q713" i="61"/>
  <c r="P713" i="61"/>
  <c r="O713" i="61"/>
  <c r="K713" i="61"/>
  <c r="AP712" i="61"/>
  <c r="AO712" i="61"/>
  <c r="AN712" i="61"/>
  <c r="AL712" i="61"/>
  <c r="AJ712" i="61"/>
  <c r="AH712" i="61"/>
  <c r="AF712" i="61"/>
  <c r="AC712" i="61"/>
  <c r="AA712" i="61"/>
  <c r="Y712" i="61"/>
  <c r="W712" i="61"/>
  <c r="T712" i="61"/>
  <c r="AM712" i="61" s="1"/>
  <c r="S712" i="61"/>
  <c r="R712" i="61"/>
  <c r="Q712" i="61"/>
  <c r="P712" i="61"/>
  <c r="O712" i="61"/>
  <c r="K712" i="61"/>
  <c r="AP711" i="61"/>
  <c r="AO711" i="61"/>
  <c r="AN711" i="61"/>
  <c r="AL711" i="61"/>
  <c r="AJ711" i="61"/>
  <c r="AH711" i="61"/>
  <c r="AF711" i="61"/>
  <c r="AC711" i="61"/>
  <c r="AA711" i="61"/>
  <c r="Y711" i="61"/>
  <c r="W711" i="61"/>
  <c r="T711" i="61"/>
  <c r="AM711" i="61" s="1"/>
  <c r="S711" i="61"/>
  <c r="R711" i="61"/>
  <c r="Q711" i="61"/>
  <c r="P711" i="61"/>
  <c r="O711" i="61"/>
  <c r="K711" i="61"/>
  <c r="AP710" i="61"/>
  <c r="AO710" i="61"/>
  <c r="AN710" i="61"/>
  <c r="AL710" i="61"/>
  <c r="AJ710" i="61"/>
  <c r="AH710" i="61"/>
  <c r="AF710" i="61"/>
  <c r="AC710" i="61"/>
  <c r="AA710" i="61"/>
  <c r="Y710" i="61"/>
  <c r="W710" i="61"/>
  <c r="T710" i="61"/>
  <c r="AM710" i="61" s="1"/>
  <c r="S710" i="61"/>
  <c r="R710" i="61"/>
  <c r="Q710" i="61"/>
  <c r="P710" i="61"/>
  <c r="O710" i="61"/>
  <c r="K710" i="61"/>
  <c r="AP709" i="61"/>
  <c r="AO709" i="61"/>
  <c r="AN709" i="61"/>
  <c r="AL709" i="61"/>
  <c r="AJ709" i="61"/>
  <c r="AH709" i="61"/>
  <c r="AF709" i="61"/>
  <c r="AC709" i="61"/>
  <c r="AA709" i="61"/>
  <c r="Y709" i="61"/>
  <c r="W709" i="61"/>
  <c r="T709" i="61"/>
  <c r="AM709" i="61" s="1"/>
  <c r="S709" i="61"/>
  <c r="R709" i="61"/>
  <c r="Q709" i="61"/>
  <c r="P709" i="61"/>
  <c r="O709" i="61"/>
  <c r="K709" i="61"/>
  <c r="AO708" i="61"/>
  <c r="AN708" i="61"/>
  <c r="AL708" i="61"/>
  <c r="AJ708" i="61"/>
  <c r="AH708" i="61"/>
  <c r="AF708" i="61"/>
  <c r="AC708" i="61"/>
  <c r="AA708" i="61"/>
  <c r="Y708" i="61"/>
  <c r="W708" i="61"/>
  <c r="T708" i="61"/>
  <c r="AM708" i="61" s="1"/>
  <c r="O708" i="61"/>
  <c r="K708" i="61"/>
  <c r="AP707" i="61"/>
  <c r="AO707" i="61"/>
  <c r="AN707" i="61"/>
  <c r="AL707" i="61"/>
  <c r="AJ707" i="61"/>
  <c r="AH707" i="61"/>
  <c r="AF707" i="61"/>
  <c r="AC707" i="61"/>
  <c r="AA707" i="61"/>
  <c r="Y707" i="61"/>
  <c r="W707" i="61"/>
  <c r="T707" i="61"/>
  <c r="AM707" i="61" s="1"/>
  <c r="S707" i="61"/>
  <c r="R707" i="61"/>
  <c r="Q707" i="61"/>
  <c r="P707" i="61"/>
  <c r="O707" i="61"/>
  <c r="K707" i="61"/>
  <c r="AP706" i="61"/>
  <c r="AO706" i="61"/>
  <c r="AN706" i="61"/>
  <c r="AL706" i="61"/>
  <c r="AJ706" i="61"/>
  <c r="AH706" i="61"/>
  <c r="AF706" i="61"/>
  <c r="AC706" i="61"/>
  <c r="AA706" i="61"/>
  <c r="Y706" i="61"/>
  <c r="W706" i="61"/>
  <c r="T706" i="61"/>
  <c r="AM706" i="61" s="1"/>
  <c r="S706" i="61"/>
  <c r="R706" i="61"/>
  <c r="Q706" i="61"/>
  <c r="P706" i="61"/>
  <c r="O706" i="61"/>
  <c r="K706" i="61"/>
  <c r="AP705" i="61"/>
  <c r="AO705" i="61"/>
  <c r="AN705" i="61"/>
  <c r="AL705" i="61"/>
  <c r="AJ705" i="61"/>
  <c r="AH705" i="61"/>
  <c r="AF705" i="61"/>
  <c r="AC705" i="61"/>
  <c r="AA705" i="61"/>
  <c r="Y705" i="61"/>
  <c r="W705" i="61"/>
  <c r="T705" i="61"/>
  <c r="AM705" i="61" s="1"/>
  <c r="S705" i="61"/>
  <c r="R705" i="61"/>
  <c r="Q705" i="61"/>
  <c r="P705" i="61"/>
  <c r="O705" i="61"/>
  <c r="K705" i="61"/>
  <c r="AP704" i="61"/>
  <c r="AO704" i="61"/>
  <c r="AN704" i="61"/>
  <c r="AL704" i="61"/>
  <c r="AJ704" i="61"/>
  <c r="AH704" i="61"/>
  <c r="AF704" i="61"/>
  <c r="AC704" i="61"/>
  <c r="AA704" i="61"/>
  <c r="Y704" i="61"/>
  <c r="W704" i="61"/>
  <c r="T704" i="61"/>
  <c r="AM704" i="61" s="1"/>
  <c r="S704" i="61"/>
  <c r="R704" i="61"/>
  <c r="Q704" i="61"/>
  <c r="P704" i="61"/>
  <c r="O704" i="61"/>
  <c r="K704" i="61"/>
  <c r="AP703" i="61"/>
  <c r="AO703" i="61"/>
  <c r="AN703" i="61"/>
  <c r="AL703" i="61"/>
  <c r="AJ703" i="61"/>
  <c r="AH703" i="61"/>
  <c r="AF703" i="61"/>
  <c r="AC703" i="61"/>
  <c r="AA703" i="61"/>
  <c r="Y703" i="61"/>
  <c r="W703" i="61"/>
  <c r="T703" i="61"/>
  <c r="AM703" i="61" s="1"/>
  <c r="S703" i="61"/>
  <c r="R703" i="61"/>
  <c r="Q703" i="61"/>
  <c r="P703" i="61"/>
  <c r="O703" i="61"/>
  <c r="K703" i="61"/>
  <c r="AP702" i="61"/>
  <c r="AO702" i="61"/>
  <c r="AN702" i="61"/>
  <c r="AL702" i="61"/>
  <c r="AJ702" i="61"/>
  <c r="AH702" i="61"/>
  <c r="AF702" i="61"/>
  <c r="AC702" i="61"/>
  <c r="AA702" i="61"/>
  <c r="Y702" i="61"/>
  <c r="W702" i="61"/>
  <c r="T702" i="61"/>
  <c r="AM702" i="61" s="1"/>
  <c r="S702" i="61"/>
  <c r="R702" i="61"/>
  <c r="Q702" i="61"/>
  <c r="P702" i="61"/>
  <c r="O702" i="61"/>
  <c r="K702" i="61"/>
  <c r="AP701" i="61"/>
  <c r="AO701" i="61"/>
  <c r="AN701" i="61"/>
  <c r="AL701" i="61"/>
  <c r="AJ701" i="61"/>
  <c r="AH701" i="61"/>
  <c r="AF701" i="61"/>
  <c r="AC701" i="61"/>
  <c r="AA701" i="61"/>
  <c r="Y701" i="61"/>
  <c r="W701" i="61"/>
  <c r="T701" i="61"/>
  <c r="AM701" i="61" s="1"/>
  <c r="S701" i="61"/>
  <c r="R701" i="61"/>
  <c r="Q701" i="61"/>
  <c r="P701" i="61"/>
  <c r="O701" i="61"/>
  <c r="K701" i="61"/>
  <c r="AP700" i="61"/>
  <c r="AO700" i="61"/>
  <c r="AN700" i="61"/>
  <c r="AL700" i="61"/>
  <c r="AJ700" i="61"/>
  <c r="AH700" i="61"/>
  <c r="AF700" i="61"/>
  <c r="AC700" i="61"/>
  <c r="AA700" i="61"/>
  <c r="Y700" i="61"/>
  <c r="W700" i="61"/>
  <c r="T700" i="61"/>
  <c r="AM700" i="61" s="1"/>
  <c r="S700" i="61"/>
  <c r="R700" i="61"/>
  <c r="Q700" i="61"/>
  <c r="P700" i="61"/>
  <c r="O700" i="61"/>
  <c r="K700" i="61"/>
  <c r="AP699" i="61"/>
  <c r="AO699" i="61"/>
  <c r="AN699" i="61"/>
  <c r="AL699" i="61"/>
  <c r="AJ699" i="61"/>
  <c r="AH699" i="61"/>
  <c r="AF699" i="61"/>
  <c r="AC699" i="61"/>
  <c r="AA699" i="61"/>
  <c r="Y699" i="61"/>
  <c r="W699" i="61"/>
  <c r="T699" i="61"/>
  <c r="AM699" i="61" s="1"/>
  <c r="S699" i="61"/>
  <c r="R699" i="61"/>
  <c r="Q699" i="61"/>
  <c r="P699" i="61"/>
  <c r="O699" i="61"/>
  <c r="K699" i="61"/>
  <c r="AP698" i="61"/>
  <c r="AO698" i="61"/>
  <c r="AN698" i="61"/>
  <c r="AL698" i="61"/>
  <c r="AJ698" i="61"/>
  <c r="AH698" i="61"/>
  <c r="AF698" i="61"/>
  <c r="AC698" i="61"/>
  <c r="AA698" i="61"/>
  <c r="Y698" i="61"/>
  <c r="W698" i="61"/>
  <c r="T698" i="61"/>
  <c r="AM698" i="61" s="1"/>
  <c r="S698" i="61"/>
  <c r="R698" i="61"/>
  <c r="Q698" i="61"/>
  <c r="P698" i="61"/>
  <c r="O698" i="61"/>
  <c r="K698" i="61"/>
  <c r="AP697" i="61"/>
  <c r="AL697" i="61"/>
  <c r="AJ697" i="61"/>
  <c r="AH697" i="61"/>
  <c r="AF697" i="61"/>
  <c r="AC697" i="61"/>
  <c r="AA697" i="61"/>
  <c r="Y697" i="61"/>
  <c r="W697" i="61"/>
  <c r="T697" i="61"/>
  <c r="S697" i="61"/>
  <c r="R697" i="61"/>
  <c r="Q697" i="61"/>
  <c r="P697" i="61"/>
  <c r="O697" i="61"/>
  <c r="K697" i="61"/>
  <c r="AP696" i="61"/>
  <c r="AO696" i="61"/>
  <c r="AN696" i="61"/>
  <c r="AL696" i="61"/>
  <c r="AJ696" i="61"/>
  <c r="AH696" i="61"/>
  <c r="AF696" i="61"/>
  <c r="AC696" i="61"/>
  <c r="AA696" i="61"/>
  <c r="Y696" i="61"/>
  <c r="W696" i="61"/>
  <c r="T696" i="61"/>
  <c r="AM696" i="61" s="1"/>
  <c r="S696" i="61"/>
  <c r="R696" i="61"/>
  <c r="Q696" i="61"/>
  <c r="P696" i="61"/>
  <c r="O696" i="61"/>
  <c r="K696" i="61"/>
  <c r="AP695" i="61"/>
  <c r="AO695" i="61"/>
  <c r="AN695" i="61"/>
  <c r="AL695" i="61"/>
  <c r="AJ695" i="61"/>
  <c r="AH695" i="61"/>
  <c r="AF695" i="61"/>
  <c r="AC695" i="61"/>
  <c r="AA695" i="61"/>
  <c r="Y695" i="61"/>
  <c r="W695" i="61"/>
  <c r="T695" i="61"/>
  <c r="AM695" i="61" s="1"/>
  <c r="S695" i="61"/>
  <c r="R695" i="61"/>
  <c r="Q695" i="61"/>
  <c r="P695" i="61"/>
  <c r="O695" i="61"/>
  <c r="K695" i="61"/>
  <c r="AP694" i="61"/>
  <c r="AO694" i="61"/>
  <c r="AN694" i="61"/>
  <c r="AL694" i="61"/>
  <c r="AJ694" i="61"/>
  <c r="AH694" i="61"/>
  <c r="AF694" i="61"/>
  <c r="AC694" i="61"/>
  <c r="AA694" i="61"/>
  <c r="Y694" i="61"/>
  <c r="W694" i="61"/>
  <c r="T694" i="61"/>
  <c r="AM694" i="61" s="1"/>
  <c r="S694" i="61"/>
  <c r="R694" i="61"/>
  <c r="Q694" i="61"/>
  <c r="P694" i="61"/>
  <c r="O694" i="61"/>
  <c r="K694" i="61"/>
  <c r="AP693" i="61"/>
  <c r="AL693" i="61"/>
  <c r="AJ693" i="61"/>
  <c r="AH693" i="61"/>
  <c r="AF693" i="61"/>
  <c r="AA693" i="61"/>
  <c r="Y693" i="61"/>
  <c r="T693" i="61"/>
  <c r="S693" i="61"/>
  <c r="R693" i="61"/>
  <c r="Q693" i="61"/>
  <c r="P693" i="61"/>
  <c r="O693" i="61"/>
  <c r="K693" i="61"/>
  <c r="AP692" i="61"/>
  <c r="AO692" i="61"/>
  <c r="AN692" i="61"/>
  <c r="AL692" i="61"/>
  <c r="AJ692" i="61"/>
  <c r="AH692" i="61"/>
  <c r="AF692" i="61"/>
  <c r="AC692" i="61"/>
  <c r="AA692" i="61"/>
  <c r="Y692" i="61"/>
  <c r="W692" i="61"/>
  <c r="T692" i="61"/>
  <c r="AM692" i="61" s="1"/>
  <c r="S692" i="61"/>
  <c r="R692" i="61"/>
  <c r="Q692" i="61"/>
  <c r="P692" i="61"/>
  <c r="O692" i="61"/>
  <c r="K692" i="61"/>
  <c r="AP691" i="61"/>
  <c r="AO691" i="61"/>
  <c r="AN691" i="61"/>
  <c r="AL691" i="61"/>
  <c r="AJ691" i="61"/>
  <c r="AH691" i="61"/>
  <c r="AF691" i="61"/>
  <c r="AC691" i="61"/>
  <c r="AA691" i="61"/>
  <c r="Y691" i="61"/>
  <c r="W691" i="61"/>
  <c r="T691" i="61"/>
  <c r="AM691" i="61" s="1"/>
  <c r="S691" i="61"/>
  <c r="R691" i="61"/>
  <c r="Q691" i="61"/>
  <c r="P691" i="61"/>
  <c r="O691" i="61"/>
  <c r="K691" i="61"/>
  <c r="AP690" i="61"/>
  <c r="AO690" i="61"/>
  <c r="AN690" i="61"/>
  <c r="AL690" i="61"/>
  <c r="AJ690" i="61"/>
  <c r="AH690" i="61"/>
  <c r="AF690" i="61"/>
  <c r="AC690" i="61"/>
  <c r="AA690" i="61"/>
  <c r="Y690" i="61"/>
  <c r="W690" i="61"/>
  <c r="T690" i="61"/>
  <c r="AM690" i="61" s="1"/>
  <c r="S690" i="61"/>
  <c r="R690" i="61"/>
  <c r="Q690" i="61"/>
  <c r="P690" i="61"/>
  <c r="O690" i="61"/>
  <c r="K690" i="61"/>
  <c r="AP689" i="61"/>
  <c r="AO689" i="61"/>
  <c r="AN689" i="61"/>
  <c r="AL689" i="61"/>
  <c r="AJ689" i="61"/>
  <c r="AH689" i="61"/>
  <c r="AF689" i="61"/>
  <c r="AC689" i="61"/>
  <c r="AA689" i="61"/>
  <c r="Y689" i="61"/>
  <c r="W689" i="61"/>
  <c r="T689" i="61"/>
  <c r="AM689" i="61" s="1"/>
  <c r="S689" i="61"/>
  <c r="R689" i="61"/>
  <c r="Q689" i="61"/>
  <c r="P689" i="61"/>
  <c r="O689" i="61"/>
  <c r="K689" i="61"/>
  <c r="AP688" i="61"/>
  <c r="AO688" i="61"/>
  <c r="AN688" i="61"/>
  <c r="AL688" i="61"/>
  <c r="AJ688" i="61"/>
  <c r="AH688" i="61"/>
  <c r="AF688" i="61"/>
  <c r="AC688" i="61"/>
  <c r="AA688" i="61"/>
  <c r="Y688" i="61"/>
  <c r="W688" i="61"/>
  <c r="T688" i="61"/>
  <c r="AM688" i="61" s="1"/>
  <c r="S688" i="61"/>
  <c r="R688" i="61"/>
  <c r="Q688" i="61"/>
  <c r="P688" i="61"/>
  <c r="O688" i="61"/>
  <c r="K688" i="61"/>
  <c r="AP687" i="61"/>
  <c r="AO687" i="61"/>
  <c r="AN687" i="61"/>
  <c r="AL687" i="61"/>
  <c r="AJ687" i="61"/>
  <c r="AH687" i="61"/>
  <c r="AF687" i="61"/>
  <c r="AC687" i="61"/>
  <c r="AA687" i="61"/>
  <c r="Y687" i="61"/>
  <c r="W687" i="61"/>
  <c r="T687" i="61"/>
  <c r="AM687" i="61" s="1"/>
  <c r="S687" i="61"/>
  <c r="R687" i="61"/>
  <c r="Q687" i="61"/>
  <c r="P687" i="61"/>
  <c r="O687" i="61"/>
  <c r="K687" i="61"/>
  <c r="AP686" i="61"/>
  <c r="AO686" i="61"/>
  <c r="AN686" i="61"/>
  <c r="AL686" i="61"/>
  <c r="AJ686" i="61"/>
  <c r="AH686" i="61"/>
  <c r="AF686" i="61"/>
  <c r="AC686" i="61"/>
  <c r="AA686" i="61"/>
  <c r="Y686" i="61"/>
  <c r="W686" i="61"/>
  <c r="T686" i="61"/>
  <c r="AM686" i="61" s="1"/>
  <c r="S686" i="61"/>
  <c r="R686" i="61"/>
  <c r="Q686" i="61"/>
  <c r="P686" i="61"/>
  <c r="O686" i="61"/>
  <c r="K686" i="61"/>
  <c r="AP685" i="61"/>
  <c r="AO685" i="61"/>
  <c r="AN685" i="61"/>
  <c r="AL685" i="61"/>
  <c r="AJ685" i="61"/>
  <c r="AH685" i="61"/>
  <c r="AF685" i="61"/>
  <c r="AC685" i="61"/>
  <c r="AA685" i="61"/>
  <c r="Y685" i="61"/>
  <c r="W685" i="61"/>
  <c r="T685" i="61"/>
  <c r="AM685" i="61" s="1"/>
  <c r="S685" i="61"/>
  <c r="R685" i="61"/>
  <c r="Q685" i="61"/>
  <c r="P685" i="61"/>
  <c r="O685" i="61"/>
  <c r="K685" i="61"/>
  <c r="AP684" i="61"/>
  <c r="AO684" i="61"/>
  <c r="AN684" i="61"/>
  <c r="AL684" i="61"/>
  <c r="AJ684" i="61"/>
  <c r="AH684" i="61"/>
  <c r="AF684" i="61"/>
  <c r="AC684" i="61"/>
  <c r="AA684" i="61"/>
  <c r="Y684" i="61"/>
  <c r="W684" i="61"/>
  <c r="T684" i="61"/>
  <c r="AM684" i="61" s="1"/>
  <c r="S684" i="61"/>
  <c r="R684" i="61"/>
  <c r="Q684" i="61"/>
  <c r="P684" i="61"/>
  <c r="O684" i="61"/>
  <c r="K684" i="61"/>
  <c r="AP683" i="61"/>
  <c r="AO683" i="61"/>
  <c r="AN683" i="61"/>
  <c r="AL683" i="61"/>
  <c r="AJ683" i="61"/>
  <c r="AH683" i="61"/>
  <c r="AF683" i="61"/>
  <c r="AC683" i="61"/>
  <c r="AA683" i="61"/>
  <c r="Y683" i="61"/>
  <c r="W683" i="61"/>
  <c r="T683" i="61"/>
  <c r="AM683" i="61" s="1"/>
  <c r="S683" i="61"/>
  <c r="R683" i="61"/>
  <c r="Q683" i="61"/>
  <c r="P683" i="61"/>
  <c r="O683" i="61"/>
  <c r="K683" i="61"/>
  <c r="AP682" i="61"/>
  <c r="AO682" i="61"/>
  <c r="AN682" i="61"/>
  <c r="AL682" i="61"/>
  <c r="AJ682" i="61"/>
  <c r="AH682" i="61"/>
  <c r="AF682" i="61"/>
  <c r="AC682" i="61"/>
  <c r="AA682" i="61"/>
  <c r="Y682" i="61"/>
  <c r="W682" i="61"/>
  <c r="T682" i="61"/>
  <c r="AM682" i="61" s="1"/>
  <c r="S682" i="61"/>
  <c r="R682" i="61"/>
  <c r="Q682" i="61"/>
  <c r="P682" i="61"/>
  <c r="O682" i="61"/>
  <c r="K682" i="61"/>
  <c r="AP681" i="61"/>
  <c r="AO681" i="61"/>
  <c r="AN681" i="61"/>
  <c r="AL681" i="61"/>
  <c r="AJ681" i="61"/>
  <c r="AH681" i="61"/>
  <c r="AF681" i="61"/>
  <c r="AC681" i="61"/>
  <c r="AA681" i="61"/>
  <c r="Y681" i="61"/>
  <c r="W681" i="61"/>
  <c r="T681" i="61"/>
  <c r="AM681" i="61" s="1"/>
  <c r="S681" i="61"/>
  <c r="R681" i="61"/>
  <c r="Q681" i="61"/>
  <c r="P681" i="61"/>
  <c r="O681" i="61"/>
  <c r="K681" i="61"/>
  <c r="AP680" i="61"/>
  <c r="AO680" i="61"/>
  <c r="AN680" i="61"/>
  <c r="AL680" i="61"/>
  <c r="AJ680" i="61"/>
  <c r="AH680" i="61"/>
  <c r="AF680" i="61"/>
  <c r="AC680" i="61"/>
  <c r="AA680" i="61"/>
  <c r="Y680" i="61"/>
  <c r="W680" i="61"/>
  <c r="T680" i="61"/>
  <c r="AM680" i="61" s="1"/>
  <c r="S680" i="61"/>
  <c r="R680" i="61"/>
  <c r="Q680" i="61"/>
  <c r="P680" i="61"/>
  <c r="O680" i="61"/>
  <c r="K680" i="61"/>
  <c r="AP679" i="61"/>
  <c r="AO679" i="61"/>
  <c r="AN679" i="61"/>
  <c r="AL679" i="61"/>
  <c r="AJ679" i="61"/>
  <c r="AH679" i="61"/>
  <c r="AF679" i="61"/>
  <c r="AC679" i="61"/>
  <c r="AA679" i="61"/>
  <c r="Y679" i="61"/>
  <c r="W679" i="61"/>
  <c r="T679" i="61"/>
  <c r="AM679" i="61" s="1"/>
  <c r="S679" i="61"/>
  <c r="R679" i="61"/>
  <c r="Q679" i="61"/>
  <c r="P679" i="61"/>
  <c r="O679" i="61"/>
  <c r="K679" i="61"/>
  <c r="AP678" i="61"/>
  <c r="AO678" i="61"/>
  <c r="AN678" i="61"/>
  <c r="AL678" i="61"/>
  <c r="AJ678" i="61"/>
  <c r="AH678" i="61"/>
  <c r="AF678" i="61"/>
  <c r="AC678" i="61"/>
  <c r="AA678" i="61"/>
  <c r="Y678" i="61"/>
  <c r="W678" i="61"/>
  <c r="T678" i="61"/>
  <c r="AM678" i="61" s="1"/>
  <c r="S678" i="61"/>
  <c r="R678" i="61"/>
  <c r="Q678" i="61"/>
  <c r="P678" i="61"/>
  <c r="O678" i="61"/>
  <c r="K678" i="61"/>
  <c r="AP677" i="61"/>
  <c r="AO677" i="61"/>
  <c r="AN677" i="61"/>
  <c r="AL677" i="61"/>
  <c r="AJ677" i="61"/>
  <c r="AH677" i="61"/>
  <c r="AF677" i="61"/>
  <c r="AC677" i="61"/>
  <c r="AA677" i="61"/>
  <c r="Y677" i="61"/>
  <c r="W677" i="61"/>
  <c r="T677" i="61"/>
  <c r="AM677" i="61" s="1"/>
  <c r="S677" i="61"/>
  <c r="R677" i="61"/>
  <c r="Q677" i="61"/>
  <c r="P677" i="61"/>
  <c r="O677" i="61"/>
  <c r="K677" i="61"/>
  <c r="AP676" i="61"/>
  <c r="AO676" i="61"/>
  <c r="AN676" i="61"/>
  <c r="AL676" i="61"/>
  <c r="AJ676" i="61"/>
  <c r="AH676" i="61"/>
  <c r="AF676" i="61"/>
  <c r="AC676" i="61"/>
  <c r="AA676" i="61"/>
  <c r="Y676" i="61"/>
  <c r="W676" i="61"/>
  <c r="T676" i="61"/>
  <c r="AM676" i="61" s="1"/>
  <c r="S676" i="61"/>
  <c r="R676" i="61"/>
  <c r="Q676" i="61"/>
  <c r="P676" i="61"/>
  <c r="O676" i="61"/>
  <c r="K676" i="61"/>
  <c r="AP675" i="61"/>
  <c r="AO675" i="61"/>
  <c r="AN675" i="61"/>
  <c r="AL675" i="61"/>
  <c r="AJ675" i="61"/>
  <c r="AH675" i="61"/>
  <c r="AF675" i="61"/>
  <c r="AC675" i="61"/>
  <c r="AA675" i="61"/>
  <c r="Y675" i="61"/>
  <c r="W675" i="61"/>
  <c r="T675" i="61"/>
  <c r="AM675" i="61" s="1"/>
  <c r="S675" i="61"/>
  <c r="R675" i="61"/>
  <c r="Q675" i="61"/>
  <c r="P675" i="61"/>
  <c r="O675" i="61"/>
  <c r="K675" i="61"/>
  <c r="AP674" i="61"/>
  <c r="AO674" i="61"/>
  <c r="AN674" i="61"/>
  <c r="AL674" i="61"/>
  <c r="AJ674" i="61"/>
  <c r="AH674" i="61"/>
  <c r="AF674" i="61"/>
  <c r="AC674" i="61"/>
  <c r="AA674" i="61"/>
  <c r="Y674" i="61"/>
  <c r="W674" i="61"/>
  <c r="T674" i="61"/>
  <c r="AM674" i="61" s="1"/>
  <c r="S674" i="61"/>
  <c r="R674" i="61"/>
  <c r="Q674" i="61"/>
  <c r="P674" i="61"/>
  <c r="O674" i="61"/>
  <c r="K674" i="61"/>
  <c r="AP673" i="61"/>
  <c r="AO673" i="61"/>
  <c r="AN673" i="61"/>
  <c r="AL673" i="61"/>
  <c r="AJ673" i="61"/>
  <c r="AH673" i="61"/>
  <c r="AF673" i="61"/>
  <c r="AC673" i="61"/>
  <c r="AA673" i="61"/>
  <c r="Y673" i="61"/>
  <c r="W673" i="61"/>
  <c r="T673" i="61"/>
  <c r="AM673" i="61" s="1"/>
  <c r="S673" i="61"/>
  <c r="R673" i="61"/>
  <c r="Q673" i="61"/>
  <c r="P673" i="61"/>
  <c r="O673" i="61"/>
  <c r="K673" i="61"/>
  <c r="AP672" i="61"/>
  <c r="AO672" i="61"/>
  <c r="AN672" i="61"/>
  <c r="AL672" i="61"/>
  <c r="AJ672" i="61"/>
  <c r="AH672" i="61"/>
  <c r="AF672" i="61"/>
  <c r="AC672" i="61"/>
  <c r="AA672" i="61"/>
  <c r="Y672" i="61"/>
  <c r="W672" i="61"/>
  <c r="T672" i="61"/>
  <c r="AM672" i="61" s="1"/>
  <c r="S672" i="61"/>
  <c r="R672" i="61"/>
  <c r="Q672" i="61"/>
  <c r="P672" i="61"/>
  <c r="O672" i="61"/>
  <c r="K672" i="61"/>
  <c r="AP671" i="61"/>
  <c r="AL671" i="61"/>
  <c r="AJ671" i="61"/>
  <c r="AH671" i="61"/>
  <c r="AF671" i="61"/>
  <c r="AA671" i="61"/>
  <c r="Y671" i="61"/>
  <c r="T671" i="61"/>
  <c r="S671" i="61"/>
  <c r="R671" i="61"/>
  <c r="Q671" i="61"/>
  <c r="P671" i="61"/>
  <c r="O671" i="61"/>
  <c r="K671" i="61"/>
  <c r="AP670" i="61"/>
  <c r="AO670" i="61"/>
  <c r="AN670" i="61"/>
  <c r="AL670" i="61"/>
  <c r="AJ670" i="61"/>
  <c r="AH670" i="61"/>
  <c r="AF670" i="61"/>
  <c r="AC670" i="61"/>
  <c r="AA670" i="61"/>
  <c r="Y670" i="61"/>
  <c r="W670" i="61"/>
  <c r="T670" i="61"/>
  <c r="AM670" i="61" s="1"/>
  <c r="S670" i="61"/>
  <c r="R670" i="61"/>
  <c r="Q670" i="61"/>
  <c r="P670" i="61"/>
  <c r="O670" i="61"/>
  <c r="K670" i="61"/>
  <c r="AP669" i="61"/>
  <c r="AL669" i="61"/>
  <c r="AJ669" i="61"/>
  <c r="AH669" i="61"/>
  <c r="AF669" i="61"/>
  <c r="AA669" i="61"/>
  <c r="Y669" i="61"/>
  <c r="T669" i="61"/>
  <c r="S669" i="61"/>
  <c r="R669" i="61"/>
  <c r="Q669" i="61"/>
  <c r="P669" i="61"/>
  <c r="O669" i="61"/>
  <c r="K669" i="61"/>
  <c r="AP668" i="61"/>
  <c r="AO668" i="61"/>
  <c r="AN668" i="61"/>
  <c r="AL668" i="61"/>
  <c r="AJ668" i="61"/>
  <c r="AH668" i="61"/>
  <c r="AF668" i="61"/>
  <c r="AC668" i="61"/>
  <c r="AA668" i="61"/>
  <c r="Y668" i="61"/>
  <c r="W668" i="61"/>
  <c r="T668" i="61"/>
  <c r="AM668" i="61" s="1"/>
  <c r="S668" i="61"/>
  <c r="R668" i="61"/>
  <c r="Q668" i="61"/>
  <c r="P668" i="61"/>
  <c r="O668" i="61"/>
  <c r="K668" i="61"/>
  <c r="AP667" i="61"/>
  <c r="AO667" i="61"/>
  <c r="AN667" i="61"/>
  <c r="AL667" i="61"/>
  <c r="AJ667" i="61"/>
  <c r="AH667" i="61"/>
  <c r="AF667" i="61"/>
  <c r="AC667" i="61"/>
  <c r="AA667" i="61"/>
  <c r="Y667" i="61"/>
  <c r="W667" i="61"/>
  <c r="T667" i="61"/>
  <c r="AM667" i="61" s="1"/>
  <c r="S667" i="61"/>
  <c r="R667" i="61"/>
  <c r="Q667" i="61"/>
  <c r="P667" i="61"/>
  <c r="O667" i="61"/>
  <c r="K667" i="61"/>
  <c r="AP666" i="61"/>
  <c r="AO666" i="61"/>
  <c r="AN666" i="61"/>
  <c r="AL666" i="61"/>
  <c r="AJ666" i="61"/>
  <c r="AH666" i="61"/>
  <c r="AF666" i="61"/>
  <c r="AC666" i="61"/>
  <c r="AA666" i="61"/>
  <c r="Y666" i="61"/>
  <c r="W666" i="61"/>
  <c r="T666" i="61"/>
  <c r="AM666" i="61"/>
  <c r="S666" i="61"/>
  <c r="R666" i="61"/>
  <c r="Q666" i="61"/>
  <c r="P666" i="61"/>
  <c r="O666" i="61"/>
  <c r="K666" i="61"/>
  <c r="AP665" i="61"/>
  <c r="AO665" i="61"/>
  <c r="AN665" i="61"/>
  <c r="AL665" i="61"/>
  <c r="AJ665" i="61"/>
  <c r="AH665" i="61"/>
  <c r="AF665" i="61"/>
  <c r="AC665" i="61"/>
  <c r="AA665" i="61"/>
  <c r="Y665" i="61"/>
  <c r="W665" i="61"/>
  <c r="T665" i="61"/>
  <c r="AM665" i="61" s="1"/>
  <c r="S665" i="61"/>
  <c r="R665" i="61"/>
  <c r="Q665" i="61"/>
  <c r="P665" i="61"/>
  <c r="O665" i="61"/>
  <c r="K665" i="61"/>
  <c r="AP664" i="61"/>
  <c r="AO664" i="61"/>
  <c r="AN664" i="61"/>
  <c r="AL664" i="61"/>
  <c r="AJ664" i="61"/>
  <c r="AH664" i="61"/>
  <c r="AF664" i="61"/>
  <c r="AC664" i="61"/>
  <c r="AA664" i="61"/>
  <c r="Y664" i="61"/>
  <c r="W664" i="61"/>
  <c r="T664" i="61"/>
  <c r="AM664" i="61" s="1"/>
  <c r="S664" i="61"/>
  <c r="R664" i="61"/>
  <c r="Q664" i="61"/>
  <c r="P664" i="61"/>
  <c r="O664" i="61"/>
  <c r="K664" i="61"/>
  <c r="AP663" i="61"/>
  <c r="AO663" i="61"/>
  <c r="AN663" i="61"/>
  <c r="AL663" i="61"/>
  <c r="AJ663" i="61"/>
  <c r="AH663" i="61"/>
  <c r="AF663" i="61"/>
  <c r="AC663" i="61"/>
  <c r="AA663" i="61"/>
  <c r="Y663" i="61"/>
  <c r="W663" i="61"/>
  <c r="T663" i="61"/>
  <c r="AM663" i="61" s="1"/>
  <c r="S663" i="61"/>
  <c r="R663" i="61"/>
  <c r="Q663" i="61"/>
  <c r="P663" i="61"/>
  <c r="O663" i="61"/>
  <c r="K663" i="61"/>
  <c r="AP662" i="61"/>
  <c r="AL662" i="61"/>
  <c r="AJ662" i="61"/>
  <c r="AH662" i="61"/>
  <c r="AF662" i="61"/>
  <c r="AA662" i="61"/>
  <c r="T662" i="61"/>
  <c r="S662" i="61"/>
  <c r="R662" i="61"/>
  <c r="Q662" i="61"/>
  <c r="P662" i="61"/>
  <c r="O662" i="61"/>
  <c r="K662" i="61"/>
  <c r="AP661" i="61"/>
  <c r="AO661" i="61"/>
  <c r="AN661" i="61"/>
  <c r="AL661" i="61"/>
  <c r="AJ661" i="61"/>
  <c r="AH661" i="61"/>
  <c r="AF661" i="61"/>
  <c r="AC661" i="61"/>
  <c r="AA661" i="61"/>
  <c r="Y661" i="61"/>
  <c r="W661" i="61"/>
  <c r="T661" i="61"/>
  <c r="AM661" i="61" s="1"/>
  <c r="S661" i="61"/>
  <c r="R661" i="61"/>
  <c r="Q661" i="61"/>
  <c r="P661" i="61"/>
  <c r="O661" i="61"/>
  <c r="K661" i="61"/>
  <c r="AP660" i="61"/>
  <c r="AO660" i="61"/>
  <c r="AN660" i="61"/>
  <c r="AL660" i="61"/>
  <c r="AJ660" i="61"/>
  <c r="AH660" i="61"/>
  <c r="AF660" i="61"/>
  <c r="AC660" i="61"/>
  <c r="AA660" i="61"/>
  <c r="Y660" i="61"/>
  <c r="W660" i="61"/>
  <c r="T660" i="61"/>
  <c r="AM660" i="61" s="1"/>
  <c r="S660" i="61"/>
  <c r="R660" i="61"/>
  <c r="Q660" i="61"/>
  <c r="P660" i="61"/>
  <c r="O660" i="61"/>
  <c r="K660" i="61"/>
  <c r="AP659" i="61"/>
  <c r="AO659" i="61"/>
  <c r="AN659" i="61"/>
  <c r="AL659" i="61"/>
  <c r="AJ659" i="61"/>
  <c r="AH659" i="61"/>
  <c r="AF659" i="61"/>
  <c r="AC659" i="61"/>
  <c r="AA659" i="61"/>
  <c r="Y659" i="61"/>
  <c r="W659" i="61"/>
  <c r="T659" i="61"/>
  <c r="AM659" i="61" s="1"/>
  <c r="S659" i="61"/>
  <c r="R659" i="61"/>
  <c r="Q659" i="61"/>
  <c r="P659" i="61"/>
  <c r="O659" i="61"/>
  <c r="K659" i="61"/>
  <c r="AP658" i="61"/>
  <c r="AO658" i="61"/>
  <c r="AN658" i="61"/>
  <c r="AL658" i="61"/>
  <c r="AJ658" i="61"/>
  <c r="AH658" i="61"/>
  <c r="AF658" i="61"/>
  <c r="AC658" i="61"/>
  <c r="AA658" i="61"/>
  <c r="Y658" i="61"/>
  <c r="W658" i="61"/>
  <c r="T658" i="61"/>
  <c r="AM658" i="61" s="1"/>
  <c r="S658" i="61"/>
  <c r="R658" i="61"/>
  <c r="Q658" i="61"/>
  <c r="P658" i="61"/>
  <c r="O658" i="61"/>
  <c r="K658" i="61"/>
  <c r="AP657" i="61"/>
  <c r="AN657" i="61"/>
  <c r="AL657" i="61"/>
  <c r="AJ657" i="61"/>
  <c r="AH657" i="61"/>
  <c r="AF657" i="61"/>
  <c r="AC657" i="61"/>
  <c r="AA657" i="61"/>
  <c r="Y657" i="61"/>
  <c r="W657" i="61"/>
  <c r="T657" i="61"/>
  <c r="AM657" i="61" s="1"/>
  <c r="S657" i="61"/>
  <c r="R657" i="61"/>
  <c r="Q657" i="61"/>
  <c r="P657" i="61"/>
  <c r="O657" i="61"/>
  <c r="K657" i="61"/>
  <c r="AP656" i="61"/>
  <c r="AL656" i="61"/>
  <c r="AJ656" i="61"/>
  <c r="AH656" i="61"/>
  <c r="AF656" i="61"/>
  <c r="AA656" i="61"/>
  <c r="Y656" i="61"/>
  <c r="T656" i="61"/>
  <c r="S656" i="61"/>
  <c r="R656" i="61"/>
  <c r="Q656" i="61"/>
  <c r="P656" i="61"/>
  <c r="O656" i="61"/>
  <c r="K656" i="61"/>
  <c r="AP655" i="61"/>
  <c r="AO655" i="61"/>
  <c r="AN655" i="61"/>
  <c r="AL655" i="61"/>
  <c r="AJ655" i="61"/>
  <c r="AH655" i="61"/>
  <c r="AF655" i="61"/>
  <c r="AC655" i="61"/>
  <c r="AA655" i="61"/>
  <c r="Y655" i="61"/>
  <c r="W655" i="61"/>
  <c r="T655" i="61"/>
  <c r="AM655" i="61" s="1"/>
  <c r="S655" i="61"/>
  <c r="R655" i="61"/>
  <c r="Q655" i="61"/>
  <c r="P655" i="61"/>
  <c r="O655" i="61"/>
  <c r="K655" i="61"/>
  <c r="AP654" i="61"/>
  <c r="AL654" i="61"/>
  <c r="AJ654" i="61"/>
  <c r="AH654" i="61"/>
  <c r="AF654" i="61"/>
  <c r="AC654" i="61"/>
  <c r="AA654" i="61"/>
  <c r="Y654" i="61"/>
  <c r="W654" i="61"/>
  <c r="T654" i="61"/>
  <c r="S654" i="61"/>
  <c r="R654" i="61"/>
  <c r="Q654" i="61"/>
  <c r="P654" i="61"/>
  <c r="O654" i="61"/>
  <c r="K654" i="61"/>
  <c r="AP653" i="61"/>
  <c r="AO653" i="61"/>
  <c r="AN653" i="61"/>
  <c r="AL653" i="61"/>
  <c r="AJ653" i="61"/>
  <c r="AH653" i="61"/>
  <c r="AF653" i="61"/>
  <c r="AC653" i="61"/>
  <c r="AA653" i="61"/>
  <c r="Y653" i="61"/>
  <c r="W653" i="61"/>
  <c r="T653" i="61"/>
  <c r="AM653" i="61" s="1"/>
  <c r="S653" i="61"/>
  <c r="R653" i="61"/>
  <c r="Q653" i="61"/>
  <c r="P653" i="61"/>
  <c r="O653" i="61"/>
  <c r="K653" i="61"/>
  <c r="AP652" i="61"/>
  <c r="AO652" i="61"/>
  <c r="AN652" i="61"/>
  <c r="AL652" i="61"/>
  <c r="AJ652" i="61"/>
  <c r="AH652" i="61"/>
  <c r="AF652" i="61"/>
  <c r="AC652" i="61"/>
  <c r="AA652" i="61"/>
  <c r="Y652" i="61"/>
  <c r="W652" i="61"/>
  <c r="T652" i="61"/>
  <c r="AM652" i="61" s="1"/>
  <c r="S652" i="61"/>
  <c r="R652" i="61"/>
  <c r="Q652" i="61"/>
  <c r="P652" i="61"/>
  <c r="O652" i="61"/>
  <c r="K652" i="61"/>
  <c r="AP651" i="61"/>
  <c r="AO651" i="61"/>
  <c r="AN651" i="61"/>
  <c r="AL651" i="61"/>
  <c r="AJ651" i="61"/>
  <c r="AH651" i="61"/>
  <c r="AF651" i="61"/>
  <c r="AC651" i="61"/>
  <c r="Y651" i="61"/>
  <c r="W651" i="61"/>
  <c r="T651" i="61"/>
  <c r="AM651" i="61" s="1"/>
  <c r="S651" i="61"/>
  <c r="R651" i="61"/>
  <c r="Q651" i="61"/>
  <c r="P651" i="61"/>
  <c r="O651" i="61"/>
  <c r="K651" i="61"/>
  <c r="AP650" i="61"/>
  <c r="AO650" i="61"/>
  <c r="AN650" i="61"/>
  <c r="AL650" i="61"/>
  <c r="AJ650" i="61"/>
  <c r="AH650" i="61"/>
  <c r="AF650" i="61"/>
  <c r="AC650" i="61"/>
  <c r="AA650" i="61"/>
  <c r="Y650" i="61"/>
  <c r="W650" i="61"/>
  <c r="T650" i="61"/>
  <c r="AM650" i="61" s="1"/>
  <c r="S650" i="61"/>
  <c r="R650" i="61"/>
  <c r="Q650" i="61"/>
  <c r="P650" i="61"/>
  <c r="O650" i="61"/>
  <c r="K650" i="61"/>
  <c r="AP649" i="61"/>
  <c r="AO649" i="61"/>
  <c r="AN649" i="61"/>
  <c r="AL649" i="61"/>
  <c r="AJ649" i="61"/>
  <c r="AH649" i="61"/>
  <c r="AF649" i="61"/>
  <c r="AC649" i="61"/>
  <c r="AA649" i="61"/>
  <c r="Y649" i="61"/>
  <c r="W649" i="61"/>
  <c r="T649" i="61"/>
  <c r="AM649" i="61" s="1"/>
  <c r="S649" i="61"/>
  <c r="R649" i="61"/>
  <c r="Q649" i="61"/>
  <c r="P649" i="61"/>
  <c r="O649" i="61"/>
  <c r="K649" i="61"/>
  <c r="AP648" i="61"/>
  <c r="AO648" i="61"/>
  <c r="AN648" i="61"/>
  <c r="AL648" i="61"/>
  <c r="AJ648" i="61"/>
  <c r="AH648" i="61"/>
  <c r="AF648" i="61"/>
  <c r="AC648" i="61"/>
  <c r="AA648" i="61"/>
  <c r="Y648" i="61"/>
  <c r="W648" i="61"/>
  <c r="T648" i="61"/>
  <c r="AM648" i="61" s="1"/>
  <c r="S648" i="61"/>
  <c r="R648" i="61"/>
  <c r="Q648" i="61"/>
  <c r="P648" i="61"/>
  <c r="O648" i="61"/>
  <c r="K648" i="61"/>
  <c r="AP647" i="61"/>
  <c r="AL647" i="61"/>
  <c r="AJ647" i="61"/>
  <c r="AH647" i="61"/>
  <c r="AF647" i="61"/>
  <c r="AC647" i="61"/>
  <c r="AA647" i="61"/>
  <c r="Y647" i="61"/>
  <c r="W647" i="61"/>
  <c r="T647" i="61"/>
  <c r="S647" i="61"/>
  <c r="R647" i="61"/>
  <c r="Q647" i="61"/>
  <c r="P647" i="61"/>
  <c r="O647" i="61"/>
  <c r="K647" i="61"/>
  <c r="AP646" i="61"/>
  <c r="AO646" i="61"/>
  <c r="AN646" i="61"/>
  <c r="AL646" i="61"/>
  <c r="AJ646" i="61"/>
  <c r="AH646" i="61"/>
  <c r="AF646" i="61"/>
  <c r="AC646" i="61"/>
  <c r="AA646" i="61"/>
  <c r="Y646" i="61"/>
  <c r="W646" i="61"/>
  <c r="T646" i="61"/>
  <c r="AM646" i="61" s="1"/>
  <c r="S646" i="61"/>
  <c r="R646" i="61"/>
  <c r="Q646" i="61"/>
  <c r="P646" i="61"/>
  <c r="O646" i="61"/>
  <c r="K646" i="61"/>
  <c r="AP645" i="61"/>
  <c r="AO645" i="61"/>
  <c r="AN645" i="61"/>
  <c r="AL645" i="61"/>
  <c r="AJ645" i="61"/>
  <c r="AH645" i="61"/>
  <c r="AF645" i="61"/>
  <c r="AA645" i="61"/>
  <c r="Y645" i="61"/>
  <c r="W645" i="61"/>
  <c r="T645" i="61"/>
  <c r="AM645" i="61" s="1"/>
  <c r="S645" i="61"/>
  <c r="R645" i="61"/>
  <c r="Q645" i="61"/>
  <c r="P645" i="61"/>
  <c r="O645" i="61"/>
  <c r="K645" i="61"/>
  <c r="AP644" i="61"/>
  <c r="AO644" i="61"/>
  <c r="AN644" i="61"/>
  <c r="AL644" i="61"/>
  <c r="AJ644" i="61"/>
  <c r="AH644" i="61"/>
  <c r="AF644" i="61"/>
  <c r="AC644" i="61"/>
  <c r="AA644" i="61"/>
  <c r="Y644" i="61"/>
  <c r="W644" i="61"/>
  <c r="T644" i="61"/>
  <c r="AM644" i="61" s="1"/>
  <c r="S644" i="61"/>
  <c r="R644" i="61"/>
  <c r="Q644" i="61"/>
  <c r="P644" i="61"/>
  <c r="O644" i="61"/>
  <c r="K644" i="61"/>
  <c r="AP643" i="61"/>
  <c r="AO643" i="61"/>
  <c r="AN643" i="61"/>
  <c r="AL643" i="61"/>
  <c r="AJ643" i="61"/>
  <c r="AH643" i="61"/>
  <c r="AF643" i="61"/>
  <c r="AC643" i="61"/>
  <c r="AA643" i="61"/>
  <c r="Y643" i="61"/>
  <c r="W643" i="61"/>
  <c r="T643" i="61"/>
  <c r="AM643" i="61" s="1"/>
  <c r="S643" i="61"/>
  <c r="R643" i="61"/>
  <c r="Q643" i="61"/>
  <c r="P643" i="61"/>
  <c r="O643" i="61"/>
  <c r="K643" i="61"/>
  <c r="AP642" i="61"/>
  <c r="AO642" i="61"/>
  <c r="AN642" i="61"/>
  <c r="AL642" i="61"/>
  <c r="AJ642" i="61"/>
  <c r="AH642" i="61"/>
  <c r="AF642" i="61"/>
  <c r="AC642" i="61"/>
  <c r="AA642" i="61"/>
  <c r="Y642" i="61"/>
  <c r="W642" i="61"/>
  <c r="T642" i="61"/>
  <c r="AM642" i="61"/>
  <c r="S642" i="61"/>
  <c r="R642" i="61"/>
  <c r="Q642" i="61"/>
  <c r="P642" i="61"/>
  <c r="O642" i="61"/>
  <c r="K642" i="61"/>
  <c r="AP641" i="61"/>
  <c r="AO641" i="61"/>
  <c r="AN641" i="61"/>
  <c r="AL641" i="61"/>
  <c r="AJ641" i="61"/>
  <c r="AH641" i="61"/>
  <c r="AF641" i="61"/>
  <c r="AC641" i="61"/>
  <c r="AA641" i="61"/>
  <c r="Y641" i="61"/>
  <c r="W641" i="61"/>
  <c r="T641" i="61"/>
  <c r="AM641" i="61" s="1"/>
  <c r="S641" i="61"/>
  <c r="R641" i="61"/>
  <c r="Q641" i="61"/>
  <c r="P641" i="61"/>
  <c r="O641" i="61"/>
  <c r="K641" i="61"/>
  <c r="AP640" i="61"/>
  <c r="AO640" i="61"/>
  <c r="AN640" i="61"/>
  <c r="AL640" i="61"/>
  <c r="AJ640" i="61"/>
  <c r="AH640" i="61"/>
  <c r="AF640" i="61"/>
  <c r="AC640" i="61"/>
  <c r="AA640" i="61"/>
  <c r="Y640" i="61"/>
  <c r="W640" i="61"/>
  <c r="T640" i="61"/>
  <c r="AM640" i="61" s="1"/>
  <c r="S640" i="61"/>
  <c r="R640" i="61"/>
  <c r="Q640" i="61"/>
  <c r="P640" i="61"/>
  <c r="O640" i="61"/>
  <c r="K640" i="61"/>
  <c r="AP639" i="61"/>
  <c r="AL639" i="61"/>
  <c r="AJ639" i="61"/>
  <c r="AH639" i="61"/>
  <c r="AF639" i="61"/>
  <c r="AA639" i="61"/>
  <c r="Y639" i="61"/>
  <c r="T639" i="61"/>
  <c r="S639" i="61"/>
  <c r="R639" i="61"/>
  <c r="Q639" i="61"/>
  <c r="P639" i="61"/>
  <c r="O639" i="61"/>
  <c r="K639" i="61"/>
  <c r="AP638" i="61"/>
  <c r="AO638" i="61"/>
  <c r="AN638" i="61"/>
  <c r="AL638" i="61"/>
  <c r="AJ638" i="61"/>
  <c r="AH638" i="61"/>
  <c r="AF638" i="61"/>
  <c r="AC638" i="61"/>
  <c r="AA638" i="61"/>
  <c r="Y638" i="61"/>
  <c r="W638" i="61"/>
  <c r="T638" i="61"/>
  <c r="AM638" i="61" s="1"/>
  <c r="S638" i="61"/>
  <c r="R638" i="61"/>
  <c r="Q638" i="61"/>
  <c r="P638" i="61"/>
  <c r="O638" i="61"/>
  <c r="K638" i="61"/>
  <c r="AP637" i="61"/>
  <c r="AO637" i="61"/>
  <c r="AN637" i="61"/>
  <c r="AL637" i="61"/>
  <c r="AJ637" i="61"/>
  <c r="AH637" i="61"/>
  <c r="AF637" i="61"/>
  <c r="AC637" i="61"/>
  <c r="AA637" i="61"/>
  <c r="Y637" i="61"/>
  <c r="W637" i="61"/>
  <c r="T637" i="61"/>
  <c r="AM637" i="61" s="1"/>
  <c r="S637" i="61"/>
  <c r="R637" i="61"/>
  <c r="Q637" i="61"/>
  <c r="P637" i="61"/>
  <c r="O637" i="61"/>
  <c r="K637" i="61"/>
  <c r="AP636" i="61"/>
  <c r="AO636" i="61"/>
  <c r="AN636" i="61"/>
  <c r="AL636" i="61"/>
  <c r="AJ636" i="61"/>
  <c r="AH636" i="61"/>
  <c r="AF636" i="61"/>
  <c r="AC636" i="61"/>
  <c r="AA636" i="61"/>
  <c r="Y636" i="61"/>
  <c r="W636" i="61"/>
  <c r="T636" i="61"/>
  <c r="AM636" i="61" s="1"/>
  <c r="S636" i="61"/>
  <c r="R636" i="61"/>
  <c r="Q636" i="61"/>
  <c r="P636" i="61"/>
  <c r="O636" i="61"/>
  <c r="K636" i="61"/>
  <c r="AP635" i="61"/>
  <c r="AL635" i="61"/>
  <c r="AJ635" i="61"/>
  <c r="AH635" i="61"/>
  <c r="AF635" i="61"/>
  <c r="AC635" i="61"/>
  <c r="AA635" i="61"/>
  <c r="Y635" i="61"/>
  <c r="W635" i="61"/>
  <c r="T635" i="61"/>
  <c r="S635" i="61"/>
  <c r="R635" i="61"/>
  <c r="Q635" i="61"/>
  <c r="P635" i="61"/>
  <c r="O635" i="61"/>
  <c r="K635" i="61"/>
  <c r="AP634" i="61"/>
  <c r="AO634" i="61"/>
  <c r="AN634" i="61"/>
  <c r="AL634" i="61"/>
  <c r="AJ634" i="61"/>
  <c r="AH634" i="61"/>
  <c r="AF634" i="61"/>
  <c r="AC634" i="61"/>
  <c r="AA634" i="61"/>
  <c r="Y634" i="61"/>
  <c r="W634" i="61"/>
  <c r="T634" i="61"/>
  <c r="AM634" i="61" s="1"/>
  <c r="S634" i="61"/>
  <c r="R634" i="61"/>
  <c r="Q634" i="61"/>
  <c r="P634" i="61"/>
  <c r="O634" i="61"/>
  <c r="K634" i="61"/>
  <c r="AP633" i="61"/>
  <c r="AO633" i="61"/>
  <c r="AN633" i="61"/>
  <c r="AL633" i="61"/>
  <c r="AJ633" i="61"/>
  <c r="AH633" i="61"/>
  <c r="AF633" i="61"/>
  <c r="AC633" i="61"/>
  <c r="AA633" i="61"/>
  <c r="Y633" i="61"/>
  <c r="W633" i="61"/>
  <c r="T633" i="61"/>
  <c r="AM633" i="61" s="1"/>
  <c r="S633" i="61"/>
  <c r="R633" i="61"/>
  <c r="Q633" i="61"/>
  <c r="P633" i="61"/>
  <c r="O633" i="61"/>
  <c r="K633" i="61"/>
  <c r="AP632" i="61"/>
  <c r="AL632" i="61"/>
  <c r="AJ632" i="61"/>
  <c r="AH632" i="61"/>
  <c r="AF632" i="61"/>
  <c r="AC632" i="61"/>
  <c r="AA632" i="61"/>
  <c r="Y632" i="61"/>
  <c r="W632" i="61"/>
  <c r="T632" i="61"/>
  <c r="S632" i="61"/>
  <c r="R632" i="61"/>
  <c r="Q632" i="61"/>
  <c r="P632" i="61"/>
  <c r="O632" i="61"/>
  <c r="K632" i="61"/>
  <c r="AP631" i="61"/>
  <c r="AO631" i="61"/>
  <c r="AN631" i="61"/>
  <c r="AL631" i="61"/>
  <c r="AJ631" i="61"/>
  <c r="AH631" i="61"/>
  <c r="AF631" i="61"/>
  <c r="AC631" i="61"/>
  <c r="AA631" i="61"/>
  <c r="Y631" i="61"/>
  <c r="W631" i="61"/>
  <c r="T631" i="61"/>
  <c r="AM631" i="61" s="1"/>
  <c r="S631" i="61"/>
  <c r="R631" i="61"/>
  <c r="Q631" i="61"/>
  <c r="P631" i="61"/>
  <c r="O631" i="61"/>
  <c r="K631" i="61"/>
  <c r="AP630" i="61"/>
  <c r="AO630" i="61"/>
  <c r="AN630" i="61"/>
  <c r="AL630" i="61"/>
  <c r="AJ630" i="61"/>
  <c r="AH630" i="61"/>
  <c r="AF630" i="61"/>
  <c r="AC630" i="61"/>
  <c r="AA630" i="61"/>
  <c r="Y630" i="61"/>
  <c r="W630" i="61"/>
  <c r="T630" i="61"/>
  <c r="AM630" i="61" s="1"/>
  <c r="S630" i="61"/>
  <c r="R630" i="61"/>
  <c r="Q630" i="61"/>
  <c r="P630" i="61"/>
  <c r="O630" i="61"/>
  <c r="K630" i="61"/>
  <c r="AP629" i="61"/>
  <c r="AO629" i="61"/>
  <c r="AN629" i="61"/>
  <c r="AL629" i="61"/>
  <c r="AJ629" i="61"/>
  <c r="AH629" i="61"/>
  <c r="AF629" i="61"/>
  <c r="AC629" i="61"/>
  <c r="AA629" i="61"/>
  <c r="Y629" i="61"/>
  <c r="W629" i="61"/>
  <c r="T629" i="61"/>
  <c r="AM629" i="61" s="1"/>
  <c r="S629" i="61"/>
  <c r="R629" i="61"/>
  <c r="Q629" i="61"/>
  <c r="P629" i="61"/>
  <c r="O629" i="61"/>
  <c r="K629" i="61"/>
  <c r="AP628" i="61"/>
  <c r="AO628" i="61"/>
  <c r="AN628" i="61"/>
  <c r="AL628" i="61"/>
  <c r="AJ628" i="61"/>
  <c r="AH628" i="61"/>
  <c r="AF628" i="61"/>
  <c r="AC628" i="61"/>
  <c r="AA628" i="61"/>
  <c r="Y628" i="61"/>
  <c r="W628" i="61"/>
  <c r="T628" i="61"/>
  <c r="AM628" i="61" s="1"/>
  <c r="S628" i="61"/>
  <c r="R628" i="61"/>
  <c r="Q628" i="61"/>
  <c r="P628" i="61"/>
  <c r="O628" i="61"/>
  <c r="K628" i="61"/>
  <c r="AP627" i="61"/>
  <c r="AO627" i="61"/>
  <c r="AN627" i="61"/>
  <c r="AL627" i="61"/>
  <c r="AJ627" i="61"/>
  <c r="AH627" i="61"/>
  <c r="AF627" i="61"/>
  <c r="AC627" i="61"/>
  <c r="AA627" i="61"/>
  <c r="Y627" i="61"/>
  <c r="W627" i="61"/>
  <c r="T627" i="61"/>
  <c r="AM627" i="61" s="1"/>
  <c r="S627" i="61"/>
  <c r="R627" i="61"/>
  <c r="Q627" i="61"/>
  <c r="P627" i="61"/>
  <c r="O627" i="61"/>
  <c r="K627" i="61"/>
  <c r="AP626" i="61"/>
  <c r="AO626" i="61"/>
  <c r="AN626" i="61"/>
  <c r="AL626" i="61"/>
  <c r="AJ626" i="61"/>
  <c r="AH626" i="61"/>
  <c r="AF626" i="61"/>
  <c r="AC626" i="61"/>
  <c r="AA626" i="61"/>
  <c r="Y626" i="61"/>
  <c r="W626" i="61"/>
  <c r="T626" i="61"/>
  <c r="AM626" i="61" s="1"/>
  <c r="S626" i="61"/>
  <c r="R626" i="61"/>
  <c r="Q626" i="61"/>
  <c r="P626" i="61"/>
  <c r="O626" i="61"/>
  <c r="K626" i="61"/>
  <c r="AP625" i="61"/>
  <c r="AO625" i="61"/>
  <c r="AN625" i="61"/>
  <c r="AL625" i="61"/>
  <c r="AJ625" i="61"/>
  <c r="AH625" i="61"/>
  <c r="AF625" i="61"/>
  <c r="AC625" i="61"/>
  <c r="AA625" i="61"/>
  <c r="Y625" i="61"/>
  <c r="W625" i="61"/>
  <c r="T625" i="61"/>
  <c r="AM625" i="61" s="1"/>
  <c r="S625" i="61"/>
  <c r="R625" i="61"/>
  <c r="Q625" i="61"/>
  <c r="P625" i="61"/>
  <c r="O625" i="61"/>
  <c r="K625" i="61"/>
  <c r="AP624" i="61"/>
  <c r="AL624" i="61"/>
  <c r="AJ624" i="61"/>
  <c r="AH624" i="61"/>
  <c r="AF624" i="61"/>
  <c r="AA624" i="61"/>
  <c r="Y624" i="61"/>
  <c r="T624" i="61"/>
  <c r="S624" i="61"/>
  <c r="R624" i="61"/>
  <c r="Q624" i="61"/>
  <c r="P624" i="61"/>
  <c r="O624" i="61"/>
  <c r="K624" i="61"/>
  <c r="AP623" i="61"/>
  <c r="AO623" i="61"/>
  <c r="AN623" i="61"/>
  <c r="AL623" i="61"/>
  <c r="AJ623" i="61"/>
  <c r="AH623" i="61"/>
  <c r="AF623" i="61"/>
  <c r="AC623" i="61"/>
  <c r="AA623" i="61"/>
  <c r="Y623" i="61"/>
  <c r="W623" i="61"/>
  <c r="T623" i="61"/>
  <c r="AM623" i="61" s="1"/>
  <c r="S623" i="61"/>
  <c r="R623" i="61"/>
  <c r="Q623" i="61"/>
  <c r="P623" i="61"/>
  <c r="O623" i="61"/>
  <c r="K623" i="61"/>
  <c r="AP622" i="61"/>
  <c r="AO622" i="61"/>
  <c r="AN622" i="61"/>
  <c r="AL622" i="61"/>
  <c r="AJ622" i="61"/>
  <c r="AH622" i="61"/>
  <c r="AF622" i="61"/>
  <c r="AC622" i="61"/>
  <c r="AA622" i="61"/>
  <c r="Y622" i="61"/>
  <c r="W622" i="61"/>
  <c r="T622" i="61"/>
  <c r="AM622" i="61" s="1"/>
  <c r="S622" i="61"/>
  <c r="R622" i="61"/>
  <c r="Q622" i="61"/>
  <c r="P622" i="61"/>
  <c r="O622" i="61"/>
  <c r="K622" i="61"/>
  <c r="AP621" i="61"/>
  <c r="AL621" i="61"/>
  <c r="AJ621" i="61"/>
  <c r="AH621" i="61"/>
  <c r="AF621" i="61"/>
  <c r="AC621" i="61"/>
  <c r="AA621" i="61"/>
  <c r="Y621" i="61"/>
  <c r="W621" i="61"/>
  <c r="T621" i="61"/>
  <c r="S621" i="61"/>
  <c r="R621" i="61"/>
  <c r="Q621" i="61"/>
  <c r="P621" i="61"/>
  <c r="O621" i="61"/>
  <c r="K621" i="61"/>
  <c r="AP620" i="61"/>
  <c r="AO620" i="61"/>
  <c r="AN620" i="61"/>
  <c r="AL620" i="61"/>
  <c r="AJ620" i="61"/>
  <c r="AH620" i="61"/>
  <c r="AF620" i="61"/>
  <c r="AA620" i="61"/>
  <c r="Y620" i="61"/>
  <c r="W620" i="61"/>
  <c r="T620" i="61"/>
  <c r="AM620" i="61" s="1"/>
  <c r="S620" i="61"/>
  <c r="R620" i="61"/>
  <c r="Q620" i="61"/>
  <c r="P620" i="61"/>
  <c r="O620" i="61"/>
  <c r="K620" i="61"/>
  <c r="AP619" i="61"/>
  <c r="AO619" i="61"/>
  <c r="AN619" i="61"/>
  <c r="AL619" i="61"/>
  <c r="AJ619" i="61"/>
  <c r="AH619" i="61"/>
  <c r="AF619" i="61"/>
  <c r="AC619" i="61"/>
  <c r="AA619" i="61"/>
  <c r="Y619" i="61"/>
  <c r="W619" i="61"/>
  <c r="T619" i="61"/>
  <c r="AM619" i="61" s="1"/>
  <c r="S619" i="61"/>
  <c r="R619" i="61"/>
  <c r="Q619" i="61"/>
  <c r="P619" i="61"/>
  <c r="O619" i="61"/>
  <c r="K619" i="61"/>
  <c r="AP618" i="61"/>
  <c r="AL618" i="61"/>
  <c r="AJ618" i="61"/>
  <c r="AH618" i="61"/>
  <c r="AF618" i="61"/>
  <c r="AA618" i="61"/>
  <c r="Y618" i="61"/>
  <c r="T618" i="61"/>
  <c r="S618" i="61"/>
  <c r="R618" i="61"/>
  <c r="Q618" i="61"/>
  <c r="P618" i="61"/>
  <c r="O618" i="61"/>
  <c r="K618" i="61"/>
  <c r="AP617" i="61"/>
  <c r="AO617" i="61"/>
  <c r="AN617" i="61"/>
  <c r="AL617" i="61"/>
  <c r="AJ617" i="61"/>
  <c r="AH617" i="61"/>
  <c r="AF617" i="61"/>
  <c r="AC617" i="61"/>
  <c r="AA617" i="61"/>
  <c r="Y617" i="61"/>
  <c r="W617" i="61"/>
  <c r="T617" i="61"/>
  <c r="AM617" i="61" s="1"/>
  <c r="S617" i="61"/>
  <c r="R617" i="61"/>
  <c r="Q617" i="61"/>
  <c r="P617" i="61"/>
  <c r="O617" i="61"/>
  <c r="K617" i="61"/>
  <c r="AP616" i="61"/>
  <c r="AO616" i="61"/>
  <c r="AN616" i="61"/>
  <c r="AL616" i="61"/>
  <c r="AJ616" i="61"/>
  <c r="AH616" i="61"/>
  <c r="AF616" i="61"/>
  <c r="AC616" i="61"/>
  <c r="AA616" i="61"/>
  <c r="Y616" i="61"/>
  <c r="W616" i="61"/>
  <c r="T616" i="61"/>
  <c r="AM616" i="61" s="1"/>
  <c r="S616" i="61"/>
  <c r="R616" i="61"/>
  <c r="Q616" i="61"/>
  <c r="P616" i="61"/>
  <c r="O616" i="61"/>
  <c r="K616" i="61"/>
  <c r="AP615" i="61"/>
  <c r="AL615" i="61"/>
  <c r="AJ615" i="61"/>
  <c r="AH615" i="61"/>
  <c r="AF615" i="61"/>
  <c r="AA615" i="61"/>
  <c r="Y615" i="61"/>
  <c r="T615" i="61"/>
  <c r="S615" i="61"/>
  <c r="R615" i="61"/>
  <c r="Q615" i="61"/>
  <c r="P615" i="61"/>
  <c r="O615" i="61"/>
  <c r="K615" i="61"/>
  <c r="AP614" i="61"/>
  <c r="AO614" i="61"/>
  <c r="AN614" i="61"/>
  <c r="AL614" i="61"/>
  <c r="AJ614" i="61"/>
  <c r="AH614" i="61"/>
  <c r="AF614" i="61"/>
  <c r="AC614" i="61"/>
  <c r="AA614" i="61"/>
  <c r="Y614" i="61"/>
  <c r="W614" i="61"/>
  <c r="T614" i="61"/>
  <c r="AM614" i="61" s="1"/>
  <c r="S614" i="61"/>
  <c r="R614" i="61"/>
  <c r="Q614" i="61"/>
  <c r="P614" i="61"/>
  <c r="O614" i="61"/>
  <c r="K614" i="61"/>
  <c r="AP613" i="61"/>
  <c r="AO613" i="61"/>
  <c r="AN613" i="61"/>
  <c r="AL613" i="61"/>
  <c r="AJ613" i="61"/>
  <c r="AH613" i="61"/>
  <c r="AF613" i="61"/>
  <c r="AC613" i="61"/>
  <c r="AA613" i="61"/>
  <c r="Y613" i="61"/>
  <c r="W613" i="61"/>
  <c r="T613" i="61"/>
  <c r="AM613" i="61" s="1"/>
  <c r="S613" i="61"/>
  <c r="R613" i="61"/>
  <c r="Q613" i="61"/>
  <c r="P613" i="61"/>
  <c r="O613" i="61"/>
  <c r="K613" i="61"/>
  <c r="AP612" i="61"/>
  <c r="AO612" i="61"/>
  <c r="AN612" i="61"/>
  <c r="AL612" i="61"/>
  <c r="AJ612" i="61"/>
  <c r="AH612" i="61"/>
  <c r="AF612" i="61"/>
  <c r="AC612" i="61"/>
  <c r="AA612" i="61"/>
  <c r="Y612" i="61"/>
  <c r="W612" i="61"/>
  <c r="T612" i="61"/>
  <c r="AM612" i="61" s="1"/>
  <c r="S612" i="61"/>
  <c r="R612" i="61"/>
  <c r="Q612" i="61"/>
  <c r="P612" i="61"/>
  <c r="O612" i="61"/>
  <c r="K612" i="61"/>
  <c r="AP611" i="61"/>
  <c r="AO611" i="61"/>
  <c r="AN611" i="61"/>
  <c r="AL611" i="61"/>
  <c r="AJ611" i="61"/>
  <c r="AH611" i="61"/>
  <c r="AF611" i="61"/>
  <c r="AC611" i="61"/>
  <c r="AA611" i="61"/>
  <c r="Y611" i="61"/>
  <c r="W611" i="61"/>
  <c r="T611" i="61"/>
  <c r="AM611" i="61" s="1"/>
  <c r="S611" i="61"/>
  <c r="R611" i="61"/>
  <c r="Q611" i="61"/>
  <c r="P611" i="61"/>
  <c r="O611" i="61"/>
  <c r="K611" i="61"/>
  <c r="AP610" i="61"/>
  <c r="AO610" i="61"/>
  <c r="AN610" i="61"/>
  <c r="AL610" i="61"/>
  <c r="AJ610" i="61"/>
  <c r="AH610" i="61"/>
  <c r="AF610" i="61"/>
  <c r="AC610" i="61"/>
  <c r="AA610" i="61"/>
  <c r="Y610" i="61"/>
  <c r="W610" i="61"/>
  <c r="T610" i="61"/>
  <c r="AM610" i="61" s="1"/>
  <c r="S610" i="61"/>
  <c r="R610" i="61"/>
  <c r="Q610" i="61"/>
  <c r="P610" i="61"/>
  <c r="O610" i="61"/>
  <c r="K610" i="61"/>
  <c r="AP609" i="61"/>
  <c r="AO609" i="61"/>
  <c r="AN609" i="61"/>
  <c r="AL609" i="61"/>
  <c r="AJ609" i="61"/>
  <c r="AH609" i="61"/>
  <c r="AF609" i="61"/>
  <c r="AC609" i="61"/>
  <c r="AA609" i="61"/>
  <c r="Y609" i="61"/>
  <c r="W609" i="61"/>
  <c r="T609" i="61"/>
  <c r="AM609" i="61" s="1"/>
  <c r="S609" i="61"/>
  <c r="R609" i="61"/>
  <c r="Q609" i="61"/>
  <c r="P609" i="61"/>
  <c r="O609" i="61"/>
  <c r="K609" i="61"/>
  <c r="AP608" i="61"/>
  <c r="AO608" i="61"/>
  <c r="AN608" i="61"/>
  <c r="AL608" i="61"/>
  <c r="AJ608" i="61"/>
  <c r="AH608" i="61"/>
  <c r="AF608" i="61"/>
  <c r="AC608" i="61"/>
  <c r="AA608" i="61"/>
  <c r="Y608" i="61"/>
  <c r="W608" i="61"/>
  <c r="T608" i="61"/>
  <c r="AM608" i="61" s="1"/>
  <c r="S608" i="61"/>
  <c r="R608" i="61"/>
  <c r="Q608" i="61"/>
  <c r="P608" i="61"/>
  <c r="O608" i="61"/>
  <c r="K608" i="61"/>
  <c r="AP607" i="61"/>
  <c r="AL607" i="61"/>
  <c r="AJ607" i="61"/>
  <c r="AH607" i="61"/>
  <c r="AF607" i="61"/>
  <c r="AC607" i="61"/>
  <c r="AA607" i="61"/>
  <c r="Y607" i="61"/>
  <c r="W607" i="61"/>
  <c r="T607" i="61"/>
  <c r="S607" i="61"/>
  <c r="R607" i="61"/>
  <c r="Q607" i="61"/>
  <c r="P607" i="61"/>
  <c r="O607" i="61"/>
  <c r="K607" i="61"/>
  <c r="AP606" i="61"/>
  <c r="AL606" i="61"/>
  <c r="AJ606" i="61"/>
  <c r="AH606" i="61"/>
  <c r="AF606" i="61"/>
  <c r="AA606" i="61"/>
  <c r="Y606" i="61"/>
  <c r="T606" i="61"/>
  <c r="S606" i="61"/>
  <c r="R606" i="61"/>
  <c r="Q606" i="61"/>
  <c r="P606" i="61"/>
  <c r="O606" i="61"/>
  <c r="K606" i="61"/>
  <c r="AP605" i="61"/>
  <c r="AO605" i="61"/>
  <c r="AN605" i="61"/>
  <c r="AL605" i="61"/>
  <c r="AJ605" i="61"/>
  <c r="AH605" i="61"/>
  <c r="AF605" i="61"/>
  <c r="AC605" i="61"/>
  <c r="AA605" i="61"/>
  <c r="Y605" i="61"/>
  <c r="W605" i="61"/>
  <c r="T605" i="61"/>
  <c r="AM605" i="61" s="1"/>
  <c r="S605" i="61"/>
  <c r="R605" i="61"/>
  <c r="Q605" i="61"/>
  <c r="P605" i="61"/>
  <c r="O605" i="61"/>
  <c r="K605" i="61"/>
  <c r="AP604" i="61"/>
  <c r="AL604" i="61"/>
  <c r="AJ604" i="61"/>
  <c r="AH604" i="61"/>
  <c r="AF604" i="61"/>
  <c r="AC604" i="61"/>
  <c r="AA604" i="61"/>
  <c r="Y604" i="61"/>
  <c r="W604" i="61"/>
  <c r="T604" i="61"/>
  <c r="S604" i="61"/>
  <c r="R604" i="61"/>
  <c r="Q604" i="61"/>
  <c r="P604" i="61"/>
  <c r="O604" i="61"/>
  <c r="K604" i="61"/>
  <c r="AP603" i="61"/>
  <c r="AO603" i="61"/>
  <c r="AN603" i="61"/>
  <c r="AL603" i="61"/>
  <c r="AJ603" i="61"/>
  <c r="AH603" i="61"/>
  <c r="AF603" i="61"/>
  <c r="AC603" i="61"/>
  <c r="AA603" i="61"/>
  <c r="Y603" i="61"/>
  <c r="W603" i="61"/>
  <c r="T603" i="61"/>
  <c r="AM603" i="61" s="1"/>
  <c r="S603" i="61"/>
  <c r="R603" i="61"/>
  <c r="Q603" i="61"/>
  <c r="P603" i="61"/>
  <c r="O603" i="61"/>
  <c r="K603" i="61"/>
  <c r="AP602" i="61"/>
  <c r="AO602" i="61"/>
  <c r="AN602" i="61"/>
  <c r="AL602" i="61"/>
  <c r="AJ602" i="61"/>
  <c r="AH602" i="61"/>
  <c r="AF602" i="61"/>
  <c r="AC602" i="61"/>
  <c r="AA602" i="61"/>
  <c r="Y602" i="61"/>
  <c r="W602" i="61"/>
  <c r="T602" i="61"/>
  <c r="AM602" i="61" s="1"/>
  <c r="S602" i="61"/>
  <c r="R602" i="61"/>
  <c r="Q602" i="61"/>
  <c r="P602" i="61"/>
  <c r="O602" i="61"/>
  <c r="K602" i="61"/>
  <c r="AP601" i="61"/>
  <c r="AO601" i="61"/>
  <c r="AN601" i="61"/>
  <c r="AL601" i="61"/>
  <c r="AJ601" i="61"/>
  <c r="AH601" i="61"/>
  <c r="AF601" i="61"/>
  <c r="AC601" i="61"/>
  <c r="Y601" i="61"/>
  <c r="W601" i="61"/>
  <c r="T601" i="61"/>
  <c r="AM601" i="61" s="1"/>
  <c r="S601" i="61"/>
  <c r="R601" i="61"/>
  <c r="Q601" i="61"/>
  <c r="P601" i="61"/>
  <c r="O601" i="61"/>
  <c r="K601" i="61"/>
  <c r="AP600" i="61"/>
  <c r="AL600" i="61"/>
  <c r="AJ600" i="61"/>
  <c r="AH600" i="61"/>
  <c r="AF600" i="61"/>
  <c r="AA600" i="61"/>
  <c r="Y600" i="61"/>
  <c r="T600" i="61"/>
  <c r="S600" i="61"/>
  <c r="R600" i="61"/>
  <c r="Q600" i="61"/>
  <c r="P600" i="61"/>
  <c r="O600" i="61"/>
  <c r="K600" i="61"/>
  <c r="AP599" i="61"/>
  <c r="AO599" i="61"/>
  <c r="AN599" i="61"/>
  <c r="AL599" i="61"/>
  <c r="AJ599" i="61"/>
  <c r="AH599" i="61"/>
  <c r="AF599" i="61"/>
  <c r="AC599" i="61"/>
  <c r="AA599" i="61"/>
  <c r="Y599" i="61"/>
  <c r="W599" i="61"/>
  <c r="T599" i="61"/>
  <c r="AM599" i="61" s="1"/>
  <c r="S599" i="61"/>
  <c r="R599" i="61"/>
  <c r="Q599" i="61"/>
  <c r="P599" i="61"/>
  <c r="O599" i="61"/>
  <c r="K599" i="61"/>
  <c r="AP598" i="61"/>
  <c r="AL598" i="61"/>
  <c r="AJ598" i="61"/>
  <c r="AH598" i="61"/>
  <c r="AF598" i="61"/>
  <c r="AC598" i="61"/>
  <c r="AA598" i="61"/>
  <c r="Y598" i="61"/>
  <c r="W598" i="61"/>
  <c r="T598" i="61"/>
  <c r="S598" i="61"/>
  <c r="R598" i="61"/>
  <c r="Q598" i="61"/>
  <c r="P598" i="61"/>
  <c r="O598" i="61"/>
  <c r="K598" i="61"/>
  <c r="AP597" i="61"/>
  <c r="AL597" i="61"/>
  <c r="AJ597" i="61"/>
  <c r="AH597" i="61"/>
  <c r="AF597" i="61"/>
  <c r="AC597" i="61"/>
  <c r="AA597" i="61"/>
  <c r="Y597" i="61"/>
  <c r="W597" i="61"/>
  <c r="T597" i="61"/>
  <c r="S597" i="61"/>
  <c r="R597" i="61"/>
  <c r="Q597" i="61"/>
  <c r="P597" i="61"/>
  <c r="O597" i="61"/>
  <c r="AP596" i="61"/>
  <c r="AO596" i="61"/>
  <c r="AN596" i="61"/>
  <c r="AL596" i="61"/>
  <c r="AJ596" i="61"/>
  <c r="AH596" i="61"/>
  <c r="AF596" i="61"/>
  <c r="AC596" i="61"/>
  <c r="AA596" i="61"/>
  <c r="Y596" i="61"/>
  <c r="W596" i="61"/>
  <c r="T596" i="61"/>
  <c r="AM596" i="61" s="1"/>
  <c r="S596" i="61"/>
  <c r="R596" i="61"/>
  <c r="Q596" i="61"/>
  <c r="P596" i="61"/>
  <c r="O596" i="61"/>
  <c r="K596" i="61"/>
  <c r="AP595" i="61"/>
  <c r="AO595" i="61"/>
  <c r="AN595" i="61"/>
  <c r="AL595" i="61"/>
  <c r="AJ595" i="61"/>
  <c r="AH595" i="61"/>
  <c r="AF595" i="61"/>
  <c r="AC595" i="61"/>
  <c r="AA595" i="61"/>
  <c r="Y595" i="61"/>
  <c r="W595" i="61"/>
  <c r="T595" i="61"/>
  <c r="AM595" i="61" s="1"/>
  <c r="S595" i="61"/>
  <c r="R595" i="61"/>
  <c r="Q595" i="61"/>
  <c r="P595" i="61"/>
  <c r="O595" i="61"/>
  <c r="K595" i="61"/>
  <c r="AP594" i="61"/>
  <c r="AO594" i="61"/>
  <c r="AN594" i="61"/>
  <c r="AL594" i="61"/>
  <c r="AJ594" i="61"/>
  <c r="AH594" i="61"/>
  <c r="AF594" i="61"/>
  <c r="AA594" i="61"/>
  <c r="Y594" i="61"/>
  <c r="T594" i="61"/>
  <c r="AM594" i="61" s="1"/>
  <c r="S594" i="61"/>
  <c r="R594" i="61"/>
  <c r="Q594" i="61"/>
  <c r="P594" i="61"/>
  <c r="O594" i="61"/>
  <c r="K594" i="61"/>
  <c r="AP593" i="61"/>
  <c r="AO593" i="61"/>
  <c r="AN593" i="61"/>
  <c r="AL593" i="61"/>
  <c r="AJ593" i="61"/>
  <c r="AH593" i="61"/>
  <c r="AF593" i="61"/>
  <c r="AC593" i="61"/>
  <c r="AA593" i="61"/>
  <c r="Y593" i="61"/>
  <c r="W593" i="61"/>
  <c r="T593" i="61"/>
  <c r="AM593" i="61" s="1"/>
  <c r="S593" i="61"/>
  <c r="R593" i="61"/>
  <c r="Q593" i="61"/>
  <c r="P593" i="61"/>
  <c r="O593" i="61"/>
  <c r="K593" i="61"/>
  <c r="AP592" i="61"/>
  <c r="AO592" i="61"/>
  <c r="AN592" i="61"/>
  <c r="AL592" i="61"/>
  <c r="AJ592" i="61"/>
  <c r="AH592" i="61"/>
  <c r="AF592" i="61"/>
  <c r="AC592" i="61"/>
  <c r="AA592" i="61"/>
  <c r="Y592" i="61"/>
  <c r="W592" i="61"/>
  <c r="T592" i="61"/>
  <c r="AM592" i="61" s="1"/>
  <c r="S592" i="61"/>
  <c r="R592" i="61"/>
  <c r="Q592" i="61"/>
  <c r="P592" i="61"/>
  <c r="O592" i="61"/>
  <c r="K592" i="61"/>
  <c r="AP591" i="61"/>
  <c r="AO591" i="61"/>
  <c r="AN591" i="61"/>
  <c r="AL591" i="61"/>
  <c r="AJ591" i="61"/>
  <c r="AH591" i="61"/>
  <c r="AF591" i="61"/>
  <c r="AC591" i="61"/>
  <c r="AA591" i="61"/>
  <c r="Y591" i="61"/>
  <c r="W591" i="61"/>
  <c r="T591" i="61"/>
  <c r="AM591" i="61" s="1"/>
  <c r="S591" i="61"/>
  <c r="R591" i="61"/>
  <c r="Q591" i="61"/>
  <c r="P591" i="61"/>
  <c r="O591" i="61"/>
  <c r="K591" i="61"/>
  <c r="AP590" i="61"/>
  <c r="AO590" i="61"/>
  <c r="AN590" i="61"/>
  <c r="AL590" i="61"/>
  <c r="AJ590" i="61"/>
  <c r="AH590" i="61"/>
  <c r="AF590" i="61"/>
  <c r="AA590" i="61"/>
  <c r="Y590" i="61"/>
  <c r="W590" i="61"/>
  <c r="T590" i="61"/>
  <c r="AM590" i="61" s="1"/>
  <c r="S590" i="61"/>
  <c r="R590" i="61"/>
  <c r="Q590" i="61"/>
  <c r="P590" i="61"/>
  <c r="O590" i="61"/>
  <c r="K590" i="61"/>
  <c r="AP589" i="61"/>
  <c r="AO589" i="61"/>
  <c r="AN589" i="61"/>
  <c r="AL589" i="61"/>
  <c r="AJ589" i="61"/>
  <c r="AH589" i="61"/>
  <c r="AF589" i="61"/>
  <c r="AA589" i="61"/>
  <c r="Y589" i="61"/>
  <c r="T589" i="61"/>
  <c r="AM589" i="61" s="1"/>
  <c r="S589" i="61"/>
  <c r="R589" i="61"/>
  <c r="Q589" i="61"/>
  <c r="P589" i="61"/>
  <c r="O589" i="61"/>
  <c r="K589" i="61"/>
  <c r="AP588" i="61"/>
  <c r="AL588" i="61"/>
  <c r="AJ588" i="61"/>
  <c r="AH588" i="61"/>
  <c r="AF588" i="61"/>
  <c r="AC588" i="61"/>
  <c r="AA588" i="61"/>
  <c r="Y588" i="61"/>
  <c r="W588" i="61"/>
  <c r="T588" i="61"/>
  <c r="S588" i="61"/>
  <c r="R588" i="61"/>
  <c r="Q588" i="61"/>
  <c r="P588" i="61"/>
  <c r="O588" i="61"/>
  <c r="K588" i="61"/>
  <c r="AP587" i="61"/>
  <c r="AO587" i="61"/>
  <c r="AN587" i="61"/>
  <c r="AL587" i="61"/>
  <c r="AJ587" i="61"/>
  <c r="AH587" i="61"/>
  <c r="AF587" i="61"/>
  <c r="AA587" i="61"/>
  <c r="Y587" i="61"/>
  <c r="T587" i="61"/>
  <c r="AM587" i="61" s="1"/>
  <c r="S587" i="61"/>
  <c r="R587" i="61"/>
  <c r="Q587" i="61"/>
  <c r="P587" i="61"/>
  <c r="O587" i="61"/>
  <c r="K587" i="61"/>
  <c r="AP586" i="61"/>
  <c r="AO586" i="61"/>
  <c r="AN586" i="61"/>
  <c r="AL586" i="61"/>
  <c r="AJ586" i="61"/>
  <c r="AH586" i="61"/>
  <c r="AF586" i="61"/>
  <c r="AA586" i="61"/>
  <c r="Y586" i="61"/>
  <c r="T586" i="61"/>
  <c r="AM586" i="61" s="1"/>
  <c r="S586" i="61"/>
  <c r="R586" i="61"/>
  <c r="Q586" i="61"/>
  <c r="P586" i="61"/>
  <c r="O586" i="61"/>
  <c r="K586" i="61"/>
  <c r="AP585" i="61"/>
  <c r="AO585" i="61"/>
  <c r="AN585" i="61"/>
  <c r="AL585" i="61"/>
  <c r="AJ585" i="61"/>
  <c r="AH585" i="61"/>
  <c r="AF585" i="61"/>
  <c r="AA585" i="61"/>
  <c r="Y585" i="61"/>
  <c r="T585" i="61"/>
  <c r="AM585" i="61" s="1"/>
  <c r="S585" i="61"/>
  <c r="R585" i="61"/>
  <c r="Q585" i="61"/>
  <c r="P585" i="61"/>
  <c r="O585" i="61"/>
  <c r="K585" i="61"/>
  <c r="AP584" i="61"/>
  <c r="AO584" i="61"/>
  <c r="AN584" i="61"/>
  <c r="AL584" i="61"/>
  <c r="AJ584" i="61"/>
  <c r="AH584" i="61"/>
  <c r="AF584" i="61"/>
  <c r="AC584" i="61"/>
  <c r="AA584" i="61"/>
  <c r="Y584" i="61"/>
  <c r="W584" i="61"/>
  <c r="T584" i="61"/>
  <c r="AM584" i="61" s="1"/>
  <c r="S584" i="61"/>
  <c r="R584" i="61"/>
  <c r="Q584" i="61"/>
  <c r="P584" i="61"/>
  <c r="O584" i="61"/>
  <c r="K584" i="61"/>
  <c r="AP583" i="61"/>
  <c r="AO583" i="61"/>
  <c r="AN583" i="61"/>
  <c r="AL583" i="61"/>
  <c r="AJ583" i="61"/>
  <c r="AH583" i="61"/>
  <c r="AF583" i="61"/>
  <c r="AC583" i="61"/>
  <c r="AA583" i="61"/>
  <c r="Y583" i="61"/>
  <c r="W583" i="61"/>
  <c r="T583" i="61"/>
  <c r="AM583" i="61" s="1"/>
  <c r="S583" i="61"/>
  <c r="R583" i="61"/>
  <c r="Q583" i="61"/>
  <c r="P583" i="61"/>
  <c r="O583" i="61"/>
  <c r="K583" i="61"/>
  <c r="AP582" i="61"/>
  <c r="AO582" i="61"/>
  <c r="AN582" i="61"/>
  <c r="AL582" i="61"/>
  <c r="AJ582" i="61"/>
  <c r="AH582" i="61"/>
  <c r="AF582" i="61"/>
  <c r="AC582" i="61"/>
  <c r="AA582" i="61"/>
  <c r="Y582" i="61"/>
  <c r="W582" i="61"/>
  <c r="T582" i="61"/>
  <c r="AM582" i="61" s="1"/>
  <c r="S582" i="61"/>
  <c r="R582" i="61"/>
  <c r="Q582" i="61"/>
  <c r="P582" i="61"/>
  <c r="O582" i="61"/>
  <c r="K582" i="61"/>
  <c r="AP581" i="61"/>
  <c r="AO581" i="61"/>
  <c r="AN581" i="61"/>
  <c r="AL581" i="61"/>
  <c r="AJ581" i="61"/>
  <c r="AH581" i="61"/>
  <c r="AF581" i="61"/>
  <c r="AC581" i="61"/>
  <c r="AA581" i="61"/>
  <c r="Y581" i="61"/>
  <c r="W581" i="61"/>
  <c r="T581" i="61"/>
  <c r="AM581" i="61" s="1"/>
  <c r="S581" i="61"/>
  <c r="R581" i="61"/>
  <c r="Q581" i="61"/>
  <c r="P581" i="61"/>
  <c r="O581" i="61"/>
  <c r="K581" i="61"/>
  <c r="AP580" i="61"/>
  <c r="AO580" i="61"/>
  <c r="AN580" i="61"/>
  <c r="AL580" i="61"/>
  <c r="AJ580" i="61"/>
  <c r="AH580" i="61"/>
  <c r="AF580" i="61"/>
  <c r="AC580" i="61"/>
  <c r="AA580" i="61"/>
  <c r="Y580" i="61"/>
  <c r="W580" i="61"/>
  <c r="T580" i="61"/>
  <c r="AM580" i="61" s="1"/>
  <c r="S580" i="61"/>
  <c r="R580" i="61"/>
  <c r="Q580" i="61"/>
  <c r="P580" i="61"/>
  <c r="O580" i="61"/>
  <c r="K580" i="61"/>
  <c r="AP579" i="61"/>
  <c r="AO579" i="61"/>
  <c r="AN579" i="61"/>
  <c r="AL579" i="61"/>
  <c r="AJ579" i="61"/>
  <c r="AH579" i="61"/>
  <c r="AF579" i="61"/>
  <c r="AC579" i="61"/>
  <c r="AA579" i="61"/>
  <c r="Y579" i="61"/>
  <c r="W579" i="61"/>
  <c r="T579" i="61"/>
  <c r="AM579" i="61" s="1"/>
  <c r="S579" i="61"/>
  <c r="R579" i="61"/>
  <c r="Q579" i="61"/>
  <c r="P579" i="61"/>
  <c r="O579" i="61"/>
  <c r="K579" i="61"/>
  <c r="AP578" i="61"/>
  <c r="AO578" i="61"/>
  <c r="AN578" i="61"/>
  <c r="AL578" i="61"/>
  <c r="AJ578" i="61"/>
  <c r="AH578" i="61"/>
  <c r="AF578" i="61"/>
  <c r="AC578" i="61"/>
  <c r="Y578" i="61"/>
  <c r="W578" i="61"/>
  <c r="T578" i="61"/>
  <c r="AM578" i="61" s="1"/>
  <c r="S578" i="61"/>
  <c r="R578" i="61"/>
  <c r="Q578" i="61"/>
  <c r="P578" i="61"/>
  <c r="O578" i="61"/>
  <c r="K578" i="61"/>
  <c r="AP577" i="61"/>
  <c r="AO577" i="61"/>
  <c r="AN577" i="61"/>
  <c r="AL577" i="61"/>
  <c r="AJ577" i="61"/>
  <c r="AH577" i="61"/>
  <c r="AF577" i="61"/>
  <c r="AC577" i="61"/>
  <c r="AA577" i="61"/>
  <c r="Y577" i="61"/>
  <c r="W577" i="61"/>
  <c r="T577" i="61"/>
  <c r="AM577" i="61" s="1"/>
  <c r="S577" i="61"/>
  <c r="R577" i="61"/>
  <c r="Q577" i="61"/>
  <c r="P577" i="61"/>
  <c r="O577" i="61"/>
  <c r="K577" i="61"/>
  <c r="AP576" i="61"/>
  <c r="AO576" i="61"/>
  <c r="AN576" i="61"/>
  <c r="AL576" i="61"/>
  <c r="AJ576" i="61"/>
  <c r="AH576" i="61"/>
  <c r="AF576" i="61"/>
  <c r="W576" i="61"/>
  <c r="T576" i="61"/>
  <c r="AM576" i="61" s="1"/>
  <c r="S576" i="61"/>
  <c r="R576" i="61"/>
  <c r="Q576" i="61"/>
  <c r="P576" i="61"/>
  <c r="O576" i="61"/>
  <c r="K576" i="61"/>
  <c r="AP575" i="61"/>
  <c r="AO575" i="61"/>
  <c r="AN575" i="61"/>
  <c r="AL575" i="61"/>
  <c r="AJ575" i="61"/>
  <c r="AH575" i="61"/>
  <c r="AF575" i="61"/>
  <c r="AC575" i="61"/>
  <c r="Y575" i="61"/>
  <c r="W575" i="61"/>
  <c r="T575" i="61"/>
  <c r="AM575" i="61" s="1"/>
  <c r="S575" i="61"/>
  <c r="R575" i="61"/>
  <c r="Q575" i="61"/>
  <c r="P575" i="61"/>
  <c r="O575" i="61"/>
  <c r="K575" i="61"/>
  <c r="AP574" i="61"/>
  <c r="AO574" i="61"/>
  <c r="AN574" i="61"/>
  <c r="AL574" i="61"/>
  <c r="AJ574" i="61"/>
  <c r="AH574" i="61"/>
  <c r="AF574" i="61"/>
  <c r="AC574" i="61"/>
  <c r="AA574" i="61"/>
  <c r="Y574" i="61"/>
  <c r="W574" i="61"/>
  <c r="T574" i="61"/>
  <c r="AM574" i="61" s="1"/>
  <c r="S574" i="61"/>
  <c r="R574" i="61"/>
  <c r="Q574" i="61"/>
  <c r="P574" i="61"/>
  <c r="O574" i="61"/>
  <c r="K574" i="61"/>
  <c r="AP573" i="61"/>
  <c r="AO573" i="61"/>
  <c r="AN573" i="61"/>
  <c r="AL573" i="61"/>
  <c r="AJ573" i="61"/>
  <c r="AH573" i="61"/>
  <c r="AF573" i="61"/>
  <c r="AC573" i="61"/>
  <c r="AA573" i="61"/>
  <c r="Y573" i="61"/>
  <c r="W573" i="61"/>
  <c r="T573" i="61"/>
  <c r="AM573" i="61" s="1"/>
  <c r="S573" i="61"/>
  <c r="R573" i="61"/>
  <c r="Q573" i="61"/>
  <c r="P573" i="61"/>
  <c r="O573" i="61"/>
  <c r="K573" i="61"/>
  <c r="AP572" i="61"/>
  <c r="AO572" i="61"/>
  <c r="AN572" i="61"/>
  <c r="AL572" i="61"/>
  <c r="AJ572" i="61"/>
  <c r="AH572" i="61"/>
  <c r="AF572" i="61"/>
  <c r="AC572" i="61"/>
  <c r="AA572" i="61"/>
  <c r="Y572" i="61"/>
  <c r="W572" i="61"/>
  <c r="T572" i="61"/>
  <c r="AM572" i="61" s="1"/>
  <c r="S572" i="61"/>
  <c r="R572" i="61"/>
  <c r="Q572" i="61"/>
  <c r="P572" i="61"/>
  <c r="O572" i="61"/>
  <c r="K572" i="61"/>
  <c r="AP571" i="61"/>
  <c r="AO571" i="61"/>
  <c r="AN571" i="61"/>
  <c r="AL571" i="61"/>
  <c r="AJ571" i="61"/>
  <c r="AH571" i="61"/>
  <c r="AF571" i="61"/>
  <c r="AC571" i="61"/>
  <c r="AA571" i="61"/>
  <c r="Y571" i="61"/>
  <c r="W571" i="61"/>
  <c r="T571" i="61"/>
  <c r="AM571" i="61" s="1"/>
  <c r="S571" i="61"/>
  <c r="R571" i="61"/>
  <c r="Q571" i="61"/>
  <c r="P571" i="61"/>
  <c r="O571" i="61"/>
  <c r="K571" i="61"/>
  <c r="AP570" i="61"/>
  <c r="AO570" i="61"/>
  <c r="AN570" i="61"/>
  <c r="AL570" i="61"/>
  <c r="AJ570" i="61"/>
  <c r="AH570" i="61"/>
  <c r="AF570" i="61"/>
  <c r="AC570" i="61"/>
  <c r="AA570" i="61"/>
  <c r="Y570" i="61"/>
  <c r="W570" i="61"/>
  <c r="T570" i="61"/>
  <c r="AM570" i="61" s="1"/>
  <c r="S570" i="61"/>
  <c r="R570" i="61"/>
  <c r="Q570" i="61"/>
  <c r="P570" i="61"/>
  <c r="O570" i="61"/>
  <c r="K570" i="61"/>
  <c r="AP569" i="61"/>
  <c r="AO569" i="61"/>
  <c r="AN569" i="61"/>
  <c r="AL569" i="61"/>
  <c r="AJ569" i="61"/>
  <c r="AH569" i="61"/>
  <c r="AF569" i="61"/>
  <c r="AA569" i="61"/>
  <c r="Y569" i="61"/>
  <c r="W569" i="61"/>
  <c r="T569" i="61"/>
  <c r="AM569" i="61" s="1"/>
  <c r="S569" i="61"/>
  <c r="R569" i="61"/>
  <c r="Q569" i="61"/>
  <c r="P569" i="61"/>
  <c r="O569" i="61"/>
  <c r="K569" i="61"/>
  <c r="AP568" i="61"/>
  <c r="AO568" i="61"/>
  <c r="AN568" i="61"/>
  <c r="AL568" i="61"/>
  <c r="AJ568" i="61"/>
  <c r="AH568" i="61"/>
  <c r="AF568" i="61"/>
  <c r="AC568" i="61"/>
  <c r="AA568" i="61"/>
  <c r="Y568" i="61"/>
  <c r="W568" i="61"/>
  <c r="T568" i="61"/>
  <c r="AM568" i="61" s="1"/>
  <c r="S568" i="61"/>
  <c r="R568" i="61"/>
  <c r="Q568" i="61"/>
  <c r="P568" i="61"/>
  <c r="O568" i="61"/>
  <c r="K568" i="61"/>
  <c r="AP567" i="61"/>
  <c r="AO567" i="61"/>
  <c r="AN567" i="61"/>
  <c r="AL567" i="61"/>
  <c r="AJ567" i="61"/>
  <c r="AH567" i="61"/>
  <c r="AF567" i="61"/>
  <c r="AC567" i="61"/>
  <c r="AA567" i="61"/>
  <c r="Y567" i="61"/>
  <c r="W567" i="61"/>
  <c r="T567" i="61"/>
  <c r="AM567" i="61" s="1"/>
  <c r="S567" i="61"/>
  <c r="R567" i="61"/>
  <c r="Q567" i="61"/>
  <c r="P567" i="61"/>
  <c r="O567" i="61"/>
  <c r="K567" i="61"/>
  <c r="AP566" i="61"/>
  <c r="AO566" i="61"/>
  <c r="AN566" i="61"/>
  <c r="AL566" i="61"/>
  <c r="AJ566" i="61"/>
  <c r="AH566" i="61"/>
  <c r="AF566" i="61"/>
  <c r="AC566" i="61"/>
  <c r="Y566" i="61"/>
  <c r="W566" i="61"/>
  <c r="T566" i="61"/>
  <c r="AM566" i="61" s="1"/>
  <c r="S566" i="61"/>
  <c r="R566" i="61"/>
  <c r="Q566" i="61"/>
  <c r="P566" i="61"/>
  <c r="O566" i="61"/>
  <c r="K566" i="61"/>
  <c r="AP565" i="61"/>
  <c r="AO565" i="61"/>
  <c r="AN565" i="61"/>
  <c r="AL565" i="61"/>
  <c r="AJ565" i="61"/>
  <c r="AH565" i="61"/>
  <c r="AF565" i="61"/>
  <c r="AC565" i="61"/>
  <c r="AA565" i="61"/>
  <c r="Y565" i="61"/>
  <c r="W565" i="61"/>
  <c r="T565" i="61"/>
  <c r="AM565" i="61" s="1"/>
  <c r="S565" i="61"/>
  <c r="R565" i="61"/>
  <c r="Q565" i="61"/>
  <c r="P565" i="61"/>
  <c r="O565" i="61"/>
  <c r="K565" i="61"/>
  <c r="AP564" i="61"/>
  <c r="AO564" i="61"/>
  <c r="AN564" i="61"/>
  <c r="AL564" i="61"/>
  <c r="AJ564" i="61"/>
  <c r="AH564" i="61"/>
  <c r="AF564" i="61"/>
  <c r="AC564" i="61"/>
  <c r="AA564" i="61"/>
  <c r="Y564" i="61"/>
  <c r="W564" i="61"/>
  <c r="T564" i="61"/>
  <c r="AM564" i="61" s="1"/>
  <c r="S564" i="61"/>
  <c r="R564" i="61"/>
  <c r="Q564" i="61"/>
  <c r="P564" i="61"/>
  <c r="O564" i="61"/>
  <c r="K564" i="61"/>
  <c r="AP563" i="61"/>
  <c r="AO563" i="61"/>
  <c r="AN563" i="61"/>
  <c r="AL563" i="61"/>
  <c r="AJ563" i="61"/>
  <c r="AH563" i="61"/>
  <c r="AF563" i="61"/>
  <c r="AC563" i="61"/>
  <c r="AA563" i="61"/>
  <c r="Y563" i="61"/>
  <c r="W563" i="61"/>
  <c r="T563" i="61"/>
  <c r="AM563" i="61" s="1"/>
  <c r="S563" i="61"/>
  <c r="R563" i="61"/>
  <c r="Q563" i="61"/>
  <c r="P563" i="61"/>
  <c r="O563" i="61"/>
  <c r="K563" i="61"/>
  <c r="AP562" i="61"/>
  <c r="AO562" i="61"/>
  <c r="AN562" i="61"/>
  <c r="AL562" i="61"/>
  <c r="AJ562" i="61"/>
  <c r="AH562" i="61"/>
  <c r="AF562" i="61"/>
  <c r="AC562" i="61"/>
  <c r="AA562" i="61"/>
  <c r="Y562" i="61"/>
  <c r="W562" i="61"/>
  <c r="T562" i="61"/>
  <c r="AM562" i="61" s="1"/>
  <c r="S562" i="61"/>
  <c r="R562" i="61"/>
  <c r="Q562" i="61"/>
  <c r="P562" i="61"/>
  <c r="O562" i="61"/>
  <c r="K562" i="61"/>
  <c r="AP561" i="61"/>
  <c r="AO561" i="61"/>
  <c r="AN561" i="61"/>
  <c r="AL561" i="61"/>
  <c r="AJ561" i="61"/>
  <c r="AH561" i="61"/>
  <c r="AF561" i="61"/>
  <c r="AC561" i="61"/>
  <c r="AA561" i="61"/>
  <c r="Y561" i="61"/>
  <c r="W561" i="61"/>
  <c r="T561" i="61"/>
  <c r="AM561" i="61" s="1"/>
  <c r="S561" i="61"/>
  <c r="R561" i="61"/>
  <c r="Q561" i="61"/>
  <c r="P561" i="61"/>
  <c r="O561" i="61"/>
  <c r="K561" i="61"/>
  <c r="AP560" i="61"/>
  <c r="AO560" i="61"/>
  <c r="AN560" i="61"/>
  <c r="AL560" i="61"/>
  <c r="AJ560" i="61"/>
  <c r="AH560" i="61"/>
  <c r="AF560" i="61"/>
  <c r="AC560" i="61"/>
  <c r="AA560" i="61"/>
  <c r="Y560" i="61"/>
  <c r="W560" i="61"/>
  <c r="T560" i="61"/>
  <c r="AM560" i="61" s="1"/>
  <c r="S560" i="61"/>
  <c r="R560" i="61"/>
  <c r="Q560" i="61"/>
  <c r="P560" i="61"/>
  <c r="O560" i="61"/>
  <c r="K560" i="61"/>
  <c r="AP559" i="61"/>
  <c r="AO559" i="61"/>
  <c r="AN559" i="61"/>
  <c r="AL559" i="61"/>
  <c r="AJ559" i="61"/>
  <c r="AH559" i="61"/>
  <c r="AF559" i="61"/>
  <c r="AC559" i="61"/>
  <c r="AA559" i="61"/>
  <c r="Y559" i="61"/>
  <c r="W559" i="61"/>
  <c r="T559" i="61"/>
  <c r="AM559" i="61" s="1"/>
  <c r="S559" i="61"/>
  <c r="R559" i="61"/>
  <c r="Q559" i="61"/>
  <c r="P559" i="61"/>
  <c r="O559" i="61"/>
  <c r="K559" i="61"/>
  <c r="AP558" i="61"/>
  <c r="AO558" i="61"/>
  <c r="AN558" i="61"/>
  <c r="AL558" i="61"/>
  <c r="AJ558" i="61"/>
  <c r="AH558" i="61"/>
  <c r="AF558" i="61"/>
  <c r="AC558" i="61"/>
  <c r="AA558" i="61"/>
  <c r="Y558" i="61"/>
  <c r="W558" i="61"/>
  <c r="T558" i="61"/>
  <c r="AM558" i="61" s="1"/>
  <c r="S558" i="61"/>
  <c r="R558" i="61"/>
  <c r="Q558" i="61"/>
  <c r="P558" i="61"/>
  <c r="O558" i="61"/>
  <c r="K558" i="61"/>
  <c r="AP557" i="61"/>
  <c r="AO557" i="61"/>
  <c r="AN557" i="61"/>
  <c r="AL557" i="61"/>
  <c r="AJ557" i="61"/>
  <c r="AH557" i="61"/>
  <c r="AF557" i="61"/>
  <c r="AC557" i="61"/>
  <c r="AA557" i="61"/>
  <c r="Y557" i="61"/>
  <c r="W557" i="61"/>
  <c r="T557" i="61"/>
  <c r="AM557" i="61" s="1"/>
  <c r="S557" i="61"/>
  <c r="R557" i="61"/>
  <c r="Q557" i="61"/>
  <c r="P557" i="61"/>
  <c r="O557" i="61"/>
  <c r="K557" i="61"/>
  <c r="AP556" i="61"/>
  <c r="AO556" i="61"/>
  <c r="AN556" i="61"/>
  <c r="AL556" i="61"/>
  <c r="AJ556" i="61"/>
  <c r="AH556" i="61"/>
  <c r="AF556" i="61"/>
  <c r="AC556" i="61"/>
  <c r="AA556" i="61"/>
  <c r="Y556" i="61"/>
  <c r="W556" i="61"/>
  <c r="T556" i="61"/>
  <c r="AM556" i="61" s="1"/>
  <c r="S556" i="61"/>
  <c r="R556" i="61"/>
  <c r="Q556" i="61"/>
  <c r="P556" i="61"/>
  <c r="O556" i="61"/>
  <c r="K556" i="61"/>
  <c r="AP555" i="61"/>
  <c r="AO555" i="61"/>
  <c r="AN555" i="61"/>
  <c r="AL555" i="61"/>
  <c r="AJ555" i="61"/>
  <c r="AH555" i="61"/>
  <c r="AF555" i="61"/>
  <c r="AC555" i="61"/>
  <c r="AA555" i="61"/>
  <c r="Y555" i="61"/>
  <c r="W555" i="61"/>
  <c r="T555" i="61"/>
  <c r="AM555" i="61" s="1"/>
  <c r="S555" i="61"/>
  <c r="R555" i="61"/>
  <c r="Q555" i="61"/>
  <c r="P555" i="61"/>
  <c r="O555" i="61"/>
  <c r="K555" i="61"/>
  <c r="AP554" i="61"/>
  <c r="AO554" i="61"/>
  <c r="AN554" i="61"/>
  <c r="AL554" i="61"/>
  <c r="AJ554" i="61"/>
  <c r="AH554" i="61"/>
  <c r="AF554" i="61"/>
  <c r="AC554" i="61"/>
  <c r="AA554" i="61"/>
  <c r="Y554" i="61"/>
  <c r="W554" i="61"/>
  <c r="T554" i="61"/>
  <c r="AM554" i="61" s="1"/>
  <c r="S554" i="61"/>
  <c r="R554" i="61"/>
  <c r="Q554" i="61"/>
  <c r="P554" i="61"/>
  <c r="O554" i="61"/>
  <c r="K554" i="61"/>
  <c r="AP553" i="61"/>
  <c r="AO553" i="61"/>
  <c r="AN553" i="61"/>
  <c r="AL553" i="61"/>
  <c r="AJ553" i="61"/>
  <c r="AH553" i="61"/>
  <c r="AF553" i="61"/>
  <c r="AC553" i="61"/>
  <c r="AA553" i="61"/>
  <c r="Y553" i="61"/>
  <c r="W553" i="61"/>
  <c r="T553" i="61"/>
  <c r="AM553" i="61" s="1"/>
  <c r="S553" i="61"/>
  <c r="R553" i="61"/>
  <c r="Q553" i="61"/>
  <c r="P553" i="61"/>
  <c r="O553" i="61"/>
  <c r="K553" i="61"/>
  <c r="AP552" i="61"/>
  <c r="AO552" i="61"/>
  <c r="AN552" i="61"/>
  <c r="AL552" i="61"/>
  <c r="AJ552" i="61"/>
  <c r="AH552" i="61"/>
  <c r="AF552" i="61"/>
  <c r="AC552" i="61"/>
  <c r="AA552" i="61"/>
  <c r="Y552" i="61"/>
  <c r="W552" i="61"/>
  <c r="T552" i="61"/>
  <c r="AM552" i="61" s="1"/>
  <c r="S552" i="61"/>
  <c r="R552" i="61"/>
  <c r="Q552" i="61"/>
  <c r="P552" i="61"/>
  <c r="O552" i="61"/>
  <c r="K552" i="61"/>
  <c r="AP551" i="61"/>
  <c r="AO551" i="61"/>
  <c r="AN551" i="61"/>
  <c r="AL551" i="61"/>
  <c r="AJ551" i="61"/>
  <c r="AH551" i="61"/>
  <c r="AF551" i="61"/>
  <c r="AC551" i="61"/>
  <c r="AA551" i="61"/>
  <c r="W551" i="61"/>
  <c r="T551" i="61"/>
  <c r="AM551" i="61" s="1"/>
  <c r="S551" i="61"/>
  <c r="R551" i="61"/>
  <c r="Q551" i="61"/>
  <c r="P551" i="61"/>
  <c r="O551" i="61"/>
  <c r="K551" i="61"/>
  <c r="AP550" i="61"/>
  <c r="AO550" i="61"/>
  <c r="AN550" i="61"/>
  <c r="AL550" i="61"/>
  <c r="AJ550" i="61"/>
  <c r="AH550" i="61"/>
  <c r="AF550" i="61"/>
  <c r="AC550" i="61"/>
  <c r="AA550" i="61"/>
  <c r="Y550" i="61"/>
  <c r="W550" i="61"/>
  <c r="T550" i="61"/>
  <c r="AM550" i="61" s="1"/>
  <c r="S550" i="61"/>
  <c r="R550" i="61"/>
  <c r="Q550" i="61"/>
  <c r="P550" i="61"/>
  <c r="O550" i="61"/>
  <c r="K550" i="61"/>
  <c r="AP549" i="61"/>
  <c r="AO549" i="61"/>
  <c r="AN549" i="61"/>
  <c r="AL549" i="61"/>
  <c r="AJ549" i="61"/>
  <c r="AH549" i="61"/>
  <c r="AF549" i="61"/>
  <c r="AC549" i="61"/>
  <c r="AA549" i="61"/>
  <c r="Y549" i="61"/>
  <c r="W549" i="61"/>
  <c r="T549" i="61"/>
  <c r="AM549" i="61" s="1"/>
  <c r="S549" i="61"/>
  <c r="R549" i="61"/>
  <c r="Q549" i="61"/>
  <c r="P549" i="61"/>
  <c r="O549" i="61"/>
  <c r="K549" i="61"/>
  <c r="AP548" i="61"/>
  <c r="AO548" i="61"/>
  <c r="AN548" i="61"/>
  <c r="AL548" i="61"/>
  <c r="AJ548" i="61"/>
  <c r="AH548" i="61"/>
  <c r="AF548" i="61"/>
  <c r="AC548" i="61"/>
  <c r="AA548" i="61"/>
  <c r="Y548" i="61"/>
  <c r="W548" i="61"/>
  <c r="T548" i="61"/>
  <c r="AM548" i="61" s="1"/>
  <c r="S548" i="61"/>
  <c r="R548" i="61"/>
  <c r="Q548" i="61"/>
  <c r="P548" i="61"/>
  <c r="O548" i="61"/>
  <c r="K548" i="61"/>
  <c r="AP547" i="61"/>
  <c r="AO547" i="61"/>
  <c r="AN547" i="61"/>
  <c r="AL547" i="61"/>
  <c r="AJ547" i="61"/>
  <c r="AH547" i="61"/>
  <c r="AF547" i="61"/>
  <c r="AC547" i="61"/>
  <c r="AA547" i="61"/>
  <c r="Y547" i="61"/>
  <c r="W547" i="61"/>
  <c r="T547" i="61"/>
  <c r="AM547" i="61" s="1"/>
  <c r="S547" i="61"/>
  <c r="R547" i="61"/>
  <c r="Q547" i="61"/>
  <c r="P547" i="61"/>
  <c r="O547" i="61"/>
  <c r="K547" i="61"/>
  <c r="AP546" i="61"/>
  <c r="AO546" i="61"/>
  <c r="AN546" i="61"/>
  <c r="AL546" i="61"/>
  <c r="AJ546" i="61"/>
  <c r="AH546" i="61"/>
  <c r="AF546" i="61"/>
  <c r="AC546" i="61"/>
  <c r="AA546" i="61"/>
  <c r="Y546" i="61"/>
  <c r="W546" i="61"/>
  <c r="T546" i="61"/>
  <c r="AM546" i="61" s="1"/>
  <c r="S546" i="61"/>
  <c r="R546" i="61"/>
  <c r="Q546" i="61"/>
  <c r="P546" i="61"/>
  <c r="O546" i="61"/>
  <c r="K546" i="61"/>
  <c r="AP545" i="61"/>
  <c r="AO545" i="61"/>
  <c r="AN545" i="61"/>
  <c r="AL545" i="61"/>
  <c r="AJ545" i="61"/>
  <c r="AH545" i="61"/>
  <c r="AF545" i="61"/>
  <c r="AC545" i="61"/>
  <c r="AA545" i="61"/>
  <c r="Y545" i="61"/>
  <c r="W545" i="61"/>
  <c r="T545" i="61"/>
  <c r="AM545" i="61" s="1"/>
  <c r="S545" i="61"/>
  <c r="R545" i="61"/>
  <c r="Q545" i="61"/>
  <c r="P545" i="61"/>
  <c r="O545" i="61"/>
  <c r="K545" i="61"/>
  <c r="AP544" i="61"/>
  <c r="AL544" i="61"/>
  <c r="AJ544" i="61"/>
  <c r="AH544" i="61"/>
  <c r="AF544" i="61"/>
  <c r="AC544" i="61"/>
  <c r="AA544" i="61"/>
  <c r="Y544" i="61"/>
  <c r="W544" i="61"/>
  <c r="T544" i="61"/>
  <c r="S544" i="61"/>
  <c r="R544" i="61"/>
  <c r="Q544" i="61"/>
  <c r="P544" i="61"/>
  <c r="O544" i="61"/>
  <c r="K544" i="61"/>
  <c r="AP543" i="61"/>
  <c r="AO543" i="61"/>
  <c r="AN543" i="61"/>
  <c r="AL543" i="61"/>
  <c r="AJ543" i="61"/>
  <c r="AH543" i="61"/>
  <c r="AF543" i="61"/>
  <c r="AC543" i="61"/>
  <c r="AA543" i="61"/>
  <c r="Y543" i="61"/>
  <c r="W543" i="61"/>
  <c r="T543" i="61"/>
  <c r="AM543" i="61" s="1"/>
  <c r="S543" i="61"/>
  <c r="R543" i="61"/>
  <c r="Q543" i="61"/>
  <c r="P543" i="61"/>
  <c r="O543" i="61"/>
  <c r="K543" i="61"/>
  <c r="AP542" i="61"/>
  <c r="AO542" i="61"/>
  <c r="AN542" i="61"/>
  <c r="AL542" i="61"/>
  <c r="AJ542" i="61"/>
  <c r="AH542" i="61"/>
  <c r="AF542" i="61"/>
  <c r="AC542" i="61"/>
  <c r="AA542" i="61"/>
  <c r="Y542" i="61"/>
  <c r="W542" i="61"/>
  <c r="T542" i="61"/>
  <c r="AM542" i="61" s="1"/>
  <c r="S542" i="61"/>
  <c r="R542" i="61"/>
  <c r="Q542" i="61"/>
  <c r="P542" i="61"/>
  <c r="O542" i="61"/>
  <c r="K542" i="61"/>
  <c r="AP541" i="61"/>
  <c r="AO541" i="61"/>
  <c r="AN541" i="61"/>
  <c r="AL541" i="61"/>
  <c r="AJ541" i="61"/>
  <c r="AH541" i="61"/>
  <c r="AF541" i="61"/>
  <c r="AC541" i="61"/>
  <c r="AA541" i="61"/>
  <c r="Y541" i="61"/>
  <c r="W541" i="61"/>
  <c r="T541" i="61"/>
  <c r="AM541" i="61" s="1"/>
  <c r="S541" i="61"/>
  <c r="R541" i="61"/>
  <c r="Q541" i="61"/>
  <c r="P541" i="61"/>
  <c r="O541" i="61"/>
  <c r="K541" i="61"/>
  <c r="AP540" i="61"/>
  <c r="AO540" i="61"/>
  <c r="AN540" i="61"/>
  <c r="AL540" i="61"/>
  <c r="AJ540" i="61"/>
  <c r="AH540" i="61"/>
  <c r="AF540" i="61"/>
  <c r="AC540" i="61"/>
  <c r="AA540" i="61"/>
  <c r="Y540" i="61"/>
  <c r="W540" i="61"/>
  <c r="T540" i="61"/>
  <c r="AM540" i="61" s="1"/>
  <c r="S540" i="61"/>
  <c r="R540" i="61"/>
  <c r="Q540" i="61"/>
  <c r="P540" i="61"/>
  <c r="O540" i="61"/>
  <c r="K540" i="61"/>
  <c r="AP539" i="61"/>
  <c r="AO539" i="61"/>
  <c r="AN539" i="61"/>
  <c r="AL539" i="61"/>
  <c r="AJ539" i="61"/>
  <c r="AH539" i="61"/>
  <c r="AF539" i="61"/>
  <c r="AC539" i="61"/>
  <c r="AA539" i="61"/>
  <c r="Y539" i="61"/>
  <c r="W539" i="61"/>
  <c r="T539" i="61"/>
  <c r="AM539" i="61" s="1"/>
  <c r="S539" i="61"/>
  <c r="R539" i="61"/>
  <c r="Q539" i="61"/>
  <c r="P539" i="61"/>
  <c r="O539" i="61"/>
  <c r="K539" i="61"/>
  <c r="AP538" i="61"/>
  <c r="AO538" i="61"/>
  <c r="AN538" i="61"/>
  <c r="AL538" i="61"/>
  <c r="AJ538" i="61"/>
  <c r="AH538" i="61"/>
  <c r="AF538" i="61"/>
  <c r="AC538" i="61"/>
  <c r="AA538" i="61"/>
  <c r="Y538" i="61"/>
  <c r="W538" i="61"/>
  <c r="T538" i="61"/>
  <c r="AM538" i="61" s="1"/>
  <c r="S538" i="61"/>
  <c r="R538" i="61"/>
  <c r="Q538" i="61"/>
  <c r="P538" i="61"/>
  <c r="O538" i="61"/>
  <c r="K538" i="61"/>
  <c r="AP537" i="61"/>
  <c r="AO537" i="61"/>
  <c r="AN537" i="61"/>
  <c r="AL537" i="61"/>
  <c r="AJ537" i="61"/>
  <c r="AH537" i="61"/>
  <c r="AF537" i="61"/>
  <c r="AC537" i="61"/>
  <c r="AA537" i="61"/>
  <c r="Y537" i="61"/>
  <c r="W537" i="61"/>
  <c r="T537" i="61"/>
  <c r="AM537" i="61" s="1"/>
  <c r="S537" i="61"/>
  <c r="R537" i="61"/>
  <c r="Q537" i="61"/>
  <c r="P537" i="61"/>
  <c r="O537" i="61"/>
  <c r="K537" i="61"/>
  <c r="AP536" i="61"/>
  <c r="AO536" i="61"/>
  <c r="AN536" i="61"/>
  <c r="AL536" i="61"/>
  <c r="AJ536" i="61"/>
  <c r="AH536" i="61"/>
  <c r="AF536" i="61"/>
  <c r="AC536" i="61"/>
  <c r="AA536" i="61"/>
  <c r="Y536" i="61"/>
  <c r="W536" i="61"/>
  <c r="T536" i="61"/>
  <c r="AM536" i="61" s="1"/>
  <c r="S536" i="61"/>
  <c r="R536" i="61"/>
  <c r="Q536" i="61"/>
  <c r="P536" i="61"/>
  <c r="O536" i="61"/>
  <c r="K536" i="61"/>
  <c r="AP535" i="61"/>
  <c r="AO535" i="61"/>
  <c r="AN535" i="61"/>
  <c r="AL535" i="61"/>
  <c r="AJ535" i="61"/>
  <c r="AH535" i="61"/>
  <c r="AF535" i="61"/>
  <c r="AC535" i="61"/>
  <c r="AA535" i="61"/>
  <c r="Y535" i="61"/>
  <c r="W535" i="61"/>
  <c r="T535" i="61"/>
  <c r="AM535" i="61" s="1"/>
  <c r="S535" i="61"/>
  <c r="R535" i="61"/>
  <c r="Q535" i="61"/>
  <c r="P535" i="61"/>
  <c r="O535" i="61"/>
  <c r="K535" i="61"/>
  <c r="AP534" i="61"/>
  <c r="AO534" i="61"/>
  <c r="AN534" i="61"/>
  <c r="AL534" i="61"/>
  <c r="AJ534" i="61"/>
  <c r="AH534" i="61"/>
  <c r="AF534" i="61"/>
  <c r="AC534" i="61"/>
  <c r="AA534" i="61"/>
  <c r="Y534" i="61"/>
  <c r="W534" i="61"/>
  <c r="T534" i="61"/>
  <c r="AM534" i="61" s="1"/>
  <c r="S534" i="61"/>
  <c r="R534" i="61"/>
  <c r="Q534" i="61"/>
  <c r="P534" i="61"/>
  <c r="O534" i="61"/>
  <c r="K534" i="61"/>
  <c r="AP533" i="61"/>
  <c r="AO533" i="61"/>
  <c r="AN533" i="61"/>
  <c r="AL533" i="61"/>
  <c r="AJ533" i="61"/>
  <c r="AH533" i="61"/>
  <c r="AF533" i="61"/>
  <c r="AC533" i="61"/>
  <c r="AA533" i="61"/>
  <c r="Y533" i="61"/>
  <c r="W533" i="61"/>
  <c r="T533" i="61"/>
  <c r="AM533" i="61" s="1"/>
  <c r="S533" i="61"/>
  <c r="R533" i="61"/>
  <c r="Q533" i="61"/>
  <c r="P533" i="61"/>
  <c r="O533" i="61"/>
  <c r="K533" i="61"/>
  <c r="AP532" i="61"/>
  <c r="AO532" i="61"/>
  <c r="AN532" i="61"/>
  <c r="AL532" i="61"/>
  <c r="AJ532" i="61"/>
  <c r="AH532" i="61"/>
  <c r="AF532" i="61"/>
  <c r="AC532" i="61"/>
  <c r="AA532" i="61"/>
  <c r="Y532" i="61"/>
  <c r="W532" i="61"/>
  <c r="T532" i="61"/>
  <c r="AM532" i="61" s="1"/>
  <c r="S532" i="61"/>
  <c r="R532" i="61"/>
  <c r="Q532" i="61"/>
  <c r="P532" i="61"/>
  <c r="O532" i="61"/>
  <c r="K532" i="61"/>
  <c r="AP531" i="61"/>
  <c r="AO531" i="61"/>
  <c r="AN531" i="61"/>
  <c r="AL531" i="61"/>
  <c r="AJ531" i="61"/>
  <c r="AH531" i="61"/>
  <c r="AF531" i="61"/>
  <c r="AC531" i="61"/>
  <c r="AA531" i="61"/>
  <c r="Y531" i="61"/>
  <c r="W531" i="61"/>
  <c r="T531" i="61"/>
  <c r="AM531" i="61" s="1"/>
  <c r="S531" i="61"/>
  <c r="R531" i="61"/>
  <c r="Q531" i="61"/>
  <c r="P531" i="61"/>
  <c r="O531" i="61"/>
  <c r="K531" i="61"/>
  <c r="AP530" i="61"/>
  <c r="AO530" i="61"/>
  <c r="AN530" i="61"/>
  <c r="AL530" i="61"/>
  <c r="AJ530" i="61"/>
  <c r="AH530" i="61"/>
  <c r="AF530" i="61"/>
  <c r="AC530" i="61"/>
  <c r="AA530" i="61"/>
  <c r="Y530" i="61"/>
  <c r="W530" i="61"/>
  <c r="T530" i="61"/>
  <c r="AM530" i="61" s="1"/>
  <c r="S530" i="61"/>
  <c r="R530" i="61"/>
  <c r="Q530" i="61"/>
  <c r="P530" i="61"/>
  <c r="O530" i="61"/>
  <c r="K530" i="61"/>
  <c r="AP529" i="61"/>
  <c r="AO529" i="61"/>
  <c r="AN529" i="61"/>
  <c r="AL529" i="61"/>
  <c r="AJ529" i="61"/>
  <c r="AH529" i="61"/>
  <c r="AF529" i="61"/>
  <c r="AC529" i="61"/>
  <c r="AA529" i="61"/>
  <c r="Y529" i="61"/>
  <c r="W529" i="61"/>
  <c r="T529" i="61"/>
  <c r="AM529" i="61" s="1"/>
  <c r="S529" i="61"/>
  <c r="R529" i="61"/>
  <c r="Q529" i="61"/>
  <c r="P529" i="61"/>
  <c r="O529" i="61"/>
  <c r="K529" i="61"/>
  <c r="AP528" i="61"/>
  <c r="AO528" i="61"/>
  <c r="AN528" i="61"/>
  <c r="AL528" i="61"/>
  <c r="AJ528" i="61"/>
  <c r="AH528" i="61"/>
  <c r="AF528" i="61"/>
  <c r="AC528" i="61"/>
  <c r="AA528" i="61"/>
  <c r="Y528" i="61"/>
  <c r="W528" i="61"/>
  <c r="T528" i="61"/>
  <c r="AM528" i="61" s="1"/>
  <c r="S528" i="61"/>
  <c r="R528" i="61"/>
  <c r="Q528" i="61"/>
  <c r="P528" i="61"/>
  <c r="O528" i="61"/>
  <c r="K528" i="61"/>
  <c r="AP527" i="61"/>
  <c r="AO527" i="61"/>
  <c r="AN527" i="61"/>
  <c r="AL527" i="61"/>
  <c r="AJ527" i="61"/>
  <c r="AH527" i="61"/>
  <c r="AF527" i="61"/>
  <c r="AC527" i="61"/>
  <c r="AA527" i="61"/>
  <c r="Y527" i="61"/>
  <c r="W527" i="61"/>
  <c r="T527" i="61"/>
  <c r="AM527" i="61" s="1"/>
  <c r="S527" i="61"/>
  <c r="R527" i="61"/>
  <c r="Q527" i="61"/>
  <c r="P527" i="61"/>
  <c r="O527" i="61"/>
  <c r="K527" i="61"/>
  <c r="AP526" i="61"/>
  <c r="AO526" i="61"/>
  <c r="AN526" i="61"/>
  <c r="AL526" i="61"/>
  <c r="AJ526" i="61"/>
  <c r="AH526" i="61"/>
  <c r="AF526" i="61"/>
  <c r="AC526" i="61"/>
  <c r="AA526" i="61"/>
  <c r="Y526" i="61"/>
  <c r="W526" i="61"/>
  <c r="T526" i="61"/>
  <c r="AM526" i="61" s="1"/>
  <c r="S526" i="61"/>
  <c r="R526" i="61"/>
  <c r="Q526" i="61"/>
  <c r="P526" i="61"/>
  <c r="O526" i="61"/>
  <c r="K526" i="61"/>
  <c r="AP525" i="61"/>
  <c r="AO525" i="61"/>
  <c r="AN525" i="61"/>
  <c r="AL525" i="61"/>
  <c r="AJ525" i="61"/>
  <c r="AH525" i="61"/>
  <c r="AF525" i="61"/>
  <c r="AC525" i="61"/>
  <c r="AA525" i="61"/>
  <c r="Y525" i="61"/>
  <c r="W525" i="61"/>
  <c r="T525" i="61"/>
  <c r="AM525" i="61" s="1"/>
  <c r="S525" i="61"/>
  <c r="R525" i="61"/>
  <c r="Q525" i="61"/>
  <c r="P525" i="61"/>
  <c r="O525" i="61"/>
  <c r="K525" i="61"/>
  <c r="AP524" i="61"/>
  <c r="AO524" i="61"/>
  <c r="AN524" i="61"/>
  <c r="AL524" i="61"/>
  <c r="AJ524" i="61"/>
  <c r="AH524" i="61"/>
  <c r="AF524" i="61"/>
  <c r="AC524" i="61"/>
  <c r="AA524" i="61"/>
  <c r="Y524" i="61"/>
  <c r="W524" i="61"/>
  <c r="T524" i="61"/>
  <c r="AM524" i="61" s="1"/>
  <c r="S524" i="61"/>
  <c r="R524" i="61"/>
  <c r="Q524" i="61"/>
  <c r="P524" i="61"/>
  <c r="O524" i="61"/>
  <c r="K524" i="61"/>
  <c r="AP523" i="61"/>
  <c r="AO523" i="61"/>
  <c r="AN523" i="61"/>
  <c r="AL523" i="61"/>
  <c r="AJ523" i="61"/>
  <c r="AH523" i="61"/>
  <c r="AF523" i="61"/>
  <c r="AC523" i="61"/>
  <c r="AA523" i="61"/>
  <c r="Y523" i="61"/>
  <c r="W523" i="61"/>
  <c r="T523" i="61"/>
  <c r="AM523" i="61"/>
  <c r="S523" i="61"/>
  <c r="R523" i="61"/>
  <c r="Q523" i="61"/>
  <c r="P523" i="61"/>
  <c r="O523" i="61"/>
  <c r="K523" i="61"/>
  <c r="AP522" i="61"/>
  <c r="AO522" i="61"/>
  <c r="AN522" i="61"/>
  <c r="AL522" i="61"/>
  <c r="AJ522" i="61"/>
  <c r="AH522" i="61"/>
  <c r="AF522" i="61"/>
  <c r="AC522" i="61"/>
  <c r="AA522" i="61"/>
  <c r="Y522" i="61"/>
  <c r="W522" i="61"/>
  <c r="T522" i="61"/>
  <c r="AM522" i="61" s="1"/>
  <c r="S522" i="61"/>
  <c r="R522" i="61"/>
  <c r="Q522" i="61"/>
  <c r="P522" i="61"/>
  <c r="O522" i="61"/>
  <c r="K522" i="61"/>
  <c r="AP521" i="61"/>
  <c r="AO521" i="61"/>
  <c r="AN521" i="61"/>
  <c r="AL521" i="61"/>
  <c r="AJ521" i="61"/>
  <c r="AH521" i="61"/>
  <c r="AF521" i="61"/>
  <c r="AC521" i="61"/>
  <c r="AA521" i="61"/>
  <c r="Y521" i="61"/>
  <c r="W521" i="61"/>
  <c r="T521" i="61"/>
  <c r="AM521" i="61" s="1"/>
  <c r="S521" i="61"/>
  <c r="R521" i="61"/>
  <c r="Q521" i="61"/>
  <c r="P521" i="61"/>
  <c r="O521" i="61"/>
  <c r="K521" i="61"/>
  <c r="AP520" i="61"/>
  <c r="AO520" i="61"/>
  <c r="AN520" i="61"/>
  <c r="AL520" i="61"/>
  <c r="AJ520" i="61"/>
  <c r="AH520" i="61"/>
  <c r="AF520" i="61"/>
  <c r="AC520" i="61"/>
  <c r="AA520" i="61"/>
  <c r="Y520" i="61"/>
  <c r="W520" i="61"/>
  <c r="T520" i="61"/>
  <c r="AM520" i="61" s="1"/>
  <c r="S520" i="61"/>
  <c r="R520" i="61"/>
  <c r="Q520" i="61"/>
  <c r="P520" i="61"/>
  <c r="O520" i="61"/>
  <c r="K520" i="61"/>
  <c r="AP519" i="61"/>
  <c r="AO519" i="61"/>
  <c r="AN519" i="61"/>
  <c r="AL519" i="61"/>
  <c r="AJ519" i="61"/>
  <c r="AH519" i="61"/>
  <c r="AF519" i="61"/>
  <c r="AC519" i="61"/>
  <c r="AA519" i="61"/>
  <c r="Y519" i="61"/>
  <c r="W519" i="61"/>
  <c r="T519" i="61"/>
  <c r="AM519" i="61" s="1"/>
  <c r="S519" i="61"/>
  <c r="R519" i="61"/>
  <c r="Q519" i="61"/>
  <c r="P519" i="61"/>
  <c r="O519" i="61"/>
  <c r="K519" i="61"/>
  <c r="AP518" i="61"/>
  <c r="AO518" i="61"/>
  <c r="AN518" i="61"/>
  <c r="AL518" i="61"/>
  <c r="AJ518" i="61"/>
  <c r="AH518" i="61"/>
  <c r="AF518" i="61"/>
  <c r="AC518" i="61"/>
  <c r="AA518" i="61"/>
  <c r="Y518" i="61"/>
  <c r="W518" i="61"/>
  <c r="T518" i="61"/>
  <c r="AM518" i="61" s="1"/>
  <c r="S518" i="61"/>
  <c r="R518" i="61"/>
  <c r="Q518" i="61"/>
  <c r="P518" i="61"/>
  <c r="O518" i="61"/>
  <c r="K518" i="61"/>
  <c r="AP517" i="61"/>
  <c r="AO517" i="61"/>
  <c r="AN517" i="61"/>
  <c r="AL517" i="61"/>
  <c r="AJ517" i="61"/>
  <c r="AH517" i="61"/>
  <c r="AF517" i="61"/>
  <c r="AC517" i="61"/>
  <c r="AA517" i="61"/>
  <c r="Y517" i="61"/>
  <c r="W517" i="61"/>
  <c r="T517" i="61"/>
  <c r="AM517" i="61" s="1"/>
  <c r="S517" i="61"/>
  <c r="R517" i="61"/>
  <c r="Q517" i="61"/>
  <c r="P517" i="61"/>
  <c r="O517" i="61"/>
  <c r="K517" i="61"/>
  <c r="AP516" i="61"/>
  <c r="AO516" i="61"/>
  <c r="AN516" i="61"/>
  <c r="AL516" i="61"/>
  <c r="AJ516" i="61"/>
  <c r="AH516" i="61"/>
  <c r="AF516" i="61"/>
  <c r="AC516" i="61"/>
  <c r="AA516" i="61"/>
  <c r="Y516" i="61"/>
  <c r="W516" i="61"/>
  <c r="T516" i="61"/>
  <c r="AM516" i="61" s="1"/>
  <c r="S516" i="61"/>
  <c r="R516" i="61"/>
  <c r="Q516" i="61"/>
  <c r="P516" i="61"/>
  <c r="O516" i="61"/>
  <c r="K516" i="61"/>
  <c r="AP515" i="61"/>
  <c r="AO515" i="61"/>
  <c r="AN515" i="61"/>
  <c r="AL515" i="61"/>
  <c r="AJ515" i="61"/>
  <c r="AH515" i="61"/>
  <c r="AF515" i="61"/>
  <c r="AC515" i="61"/>
  <c r="AA515" i="61"/>
  <c r="Y515" i="61"/>
  <c r="W515" i="61"/>
  <c r="T515" i="61"/>
  <c r="AM515" i="61" s="1"/>
  <c r="S515" i="61"/>
  <c r="R515" i="61"/>
  <c r="Q515" i="61"/>
  <c r="P515" i="61"/>
  <c r="O515" i="61"/>
  <c r="K515" i="61"/>
  <c r="AP514" i="61"/>
  <c r="AO514" i="61"/>
  <c r="AN514" i="61"/>
  <c r="AL514" i="61"/>
  <c r="AJ514" i="61"/>
  <c r="AH514" i="61"/>
  <c r="AF514" i="61"/>
  <c r="AC514" i="61"/>
  <c r="AA514" i="61"/>
  <c r="Y514" i="61"/>
  <c r="W514" i="61"/>
  <c r="T514" i="61"/>
  <c r="AM514" i="61" s="1"/>
  <c r="S514" i="61"/>
  <c r="R514" i="61"/>
  <c r="Q514" i="61"/>
  <c r="P514" i="61"/>
  <c r="O514" i="61"/>
  <c r="K514" i="61"/>
  <c r="AP513" i="61"/>
  <c r="AO513" i="61"/>
  <c r="AN513" i="61"/>
  <c r="AL513" i="61"/>
  <c r="AJ513" i="61"/>
  <c r="AH513" i="61"/>
  <c r="AF513" i="61"/>
  <c r="AC513" i="61"/>
  <c r="AA513" i="61"/>
  <c r="Y513" i="61"/>
  <c r="W513" i="61"/>
  <c r="T513" i="61"/>
  <c r="AM513" i="61" s="1"/>
  <c r="S513" i="61"/>
  <c r="R513" i="61"/>
  <c r="Q513" i="61"/>
  <c r="P513" i="61"/>
  <c r="O513" i="61"/>
  <c r="K513" i="61"/>
  <c r="AP512" i="61"/>
  <c r="AO512" i="61"/>
  <c r="AN512" i="61"/>
  <c r="AL512" i="61"/>
  <c r="AJ512" i="61"/>
  <c r="AH512" i="61"/>
  <c r="AF512" i="61"/>
  <c r="AC512" i="61"/>
  <c r="AA512" i="61"/>
  <c r="Y512" i="61"/>
  <c r="W512" i="61"/>
  <c r="T512" i="61"/>
  <c r="AM512" i="61" s="1"/>
  <c r="S512" i="61"/>
  <c r="R512" i="61"/>
  <c r="Q512" i="61"/>
  <c r="P512" i="61"/>
  <c r="O512" i="61"/>
  <c r="K512" i="61"/>
  <c r="AP511" i="61"/>
  <c r="AO511" i="61"/>
  <c r="AN511" i="61"/>
  <c r="AL511" i="61"/>
  <c r="AJ511" i="61"/>
  <c r="AH511" i="61"/>
  <c r="AF511" i="61"/>
  <c r="AC511" i="61"/>
  <c r="AA511" i="61"/>
  <c r="Y511" i="61"/>
  <c r="W511" i="61"/>
  <c r="T511" i="61"/>
  <c r="AM511" i="61" s="1"/>
  <c r="S511" i="61"/>
  <c r="R511" i="61"/>
  <c r="Q511" i="61"/>
  <c r="P511" i="61"/>
  <c r="O511" i="61"/>
  <c r="K511" i="61"/>
  <c r="AP510" i="61"/>
  <c r="AO510" i="61"/>
  <c r="AN510" i="61"/>
  <c r="AL510" i="61"/>
  <c r="AJ510" i="61"/>
  <c r="AH510" i="61"/>
  <c r="AF510" i="61"/>
  <c r="AC510" i="61"/>
  <c r="AA510" i="61"/>
  <c r="Y510" i="61"/>
  <c r="W510" i="61"/>
  <c r="T510" i="61"/>
  <c r="AM510" i="61" s="1"/>
  <c r="S510" i="61"/>
  <c r="R510" i="61"/>
  <c r="Q510" i="61"/>
  <c r="P510" i="61"/>
  <c r="O510" i="61"/>
  <c r="K510" i="61"/>
  <c r="AP509" i="61"/>
  <c r="AO509" i="61"/>
  <c r="AN509" i="61"/>
  <c r="AL509" i="61"/>
  <c r="AJ509" i="61"/>
  <c r="AH509" i="61"/>
  <c r="AF509" i="61"/>
  <c r="AC509" i="61"/>
  <c r="AA509" i="61"/>
  <c r="Y509" i="61"/>
  <c r="W509" i="61"/>
  <c r="T509" i="61"/>
  <c r="AM509" i="61" s="1"/>
  <c r="S509" i="61"/>
  <c r="R509" i="61"/>
  <c r="Q509" i="61"/>
  <c r="P509" i="61"/>
  <c r="O509" i="61"/>
  <c r="K509" i="61"/>
  <c r="AP508" i="61"/>
  <c r="AO508" i="61"/>
  <c r="AN508" i="61"/>
  <c r="AL508" i="61"/>
  <c r="AJ508" i="61"/>
  <c r="AH508" i="61"/>
  <c r="AF508" i="61"/>
  <c r="AC508" i="61"/>
  <c r="AA508" i="61"/>
  <c r="Y508" i="61"/>
  <c r="W508" i="61"/>
  <c r="T508" i="61"/>
  <c r="AM508" i="61" s="1"/>
  <c r="S508" i="61"/>
  <c r="R508" i="61"/>
  <c r="Q508" i="61"/>
  <c r="P508" i="61"/>
  <c r="O508" i="61"/>
  <c r="K508" i="61"/>
  <c r="AP507" i="61"/>
  <c r="AO507" i="61"/>
  <c r="AN507" i="61"/>
  <c r="AL507" i="61"/>
  <c r="AJ507" i="61"/>
  <c r="AH507" i="61"/>
  <c r="AF507" i="61"/>
  <c r="AC507" i="61"/>
  <c r="AA507" i="61"/>
  <c r="Y507" i="61"/>
  <c r="W507" i="61"/>
  <c r="T507" i="61"/>
  <c r="AM507" i="61" s="1"/>
  <c r="S507" i="61"/>
  <c r="R507" i="61"/>
  <c r="Q507" i="61"/>
  <c r="P507" i="61"/>
  <c r="O507" i="61"/>
  <c r="K507" i="61"/>
  <c r="AP506" i="61"/>
  <c r="AL506" i="61"/>
  <c r="AJ506" i="61"/>
  <c r="AH506" i="61"/>
  <c r="AF506" i="61"/>
  <c r="AC506" i="61"/>
  <c r="AA506" i="61"/>
  <c r="Y506" i="61"/>
  <c r="W506" i="61"/>
  <c r="AP505" i="61"/>
  <c r="AL505" i="61"/>
  <c r="AJ505" i="61"/>
  <c r="AH505" i="61"/>
  <c r="AF505" i="61"/>
  <c r="AC505" i="61"/>
  <c r="AA505" i="61"/>
  <c r="Y505" i="61"/>
  <c r="W505" i="61"/>
  <c r="AP504" i="61"/>
  <c r="AO504" i="61"/>
  <c r="AN504" i="61"/>
  <c r="AM504" i="61"/>
  <c r="AL504" i="61"/>
  <c r="AJ504" i="61"/>
  <c r="AH504" i="61"/>
  <c r="AF504" i="61"/>
  <c r="AC504" i="61"/>
  <c r="AA504" i="61"/>
  <c r="Y504" i="61"/>
  <c r="W504" i="61"/>
  <c r="AP503" i="61"/>
  <c r="AL503" i="61"/>
  <c r="AJ503" i="61"/>
  <c r="AH503" i="61"/>
  <c r="AF503" i="61"/>
  <c r="AC503" i="61"/>
  <c r="AA503" i="61"/>
  <c r="Y503" i="61"/>
  <c r="W503" i="61"/>
  <c r="AP502" i="61"/>
  <c r="AL502" i="61"/>
  <c r="AJ502" i="61"/>
  <c r="AH502" i="61"/>
  <c r="AF502" i="61"/>
  <c r="AC502" i="61"/>
  <c r="AA502" i="61"/>
  <c r="Y502" i="61"/>
  <c r="W502" i="61"/>
  <c r="AP501" i="61"/>
  <c r="AL501" i="61"/>
  <c r="AJ501" i="61"/>
  <c r="AH501" i="61"/>
  <c r="AF501" i="61"/>
  <c r="AC501" i="61"/>
  <c r="AA501" i="61"/>
  <c r="Y501" i="61"/>
  <c r="W501" i="61"/>
  <c r="AP500" i="61"/>
  <c r="AL500" i="61"/>
  <c r="AJ500" i="61"/>
  <c r="AH500" i="61"/>
  <c r="AF500" i="61"/>
  <c r="AC500" i="61"/>
  <c r="AA500" i="61"/>
  <c r="Y500" i="61"/>
  <c r="W500" i="61"/>
  <c r="AP499" i="61"/>
  <c r="AL499" i="61"/>
  <c r="AJ499" i="61"/>
  <c r="AH499" i="61"/>
  <c r="AF499" i="61"/>
  <c r="AC499" i="61"/>
  <c r="AA499" i="61"/>
  <c r="Y499" i="61"/>
  <c r="W499" i="61"/>
  <c r="AP498" i="61"/>
  <c r="AL498" i="61"/>
  <c r="AJ498" i="61"/>
  <c r="AH498" i="61"/>
  <c r="AF498" i="61"/>
  <c r="AC498" i="61"/>
  <c r="AA498" i="61"/>
  <c r="Y498" i="61"/>
  <c r="W498" i="61"/>
  <c r="AP497" i="61"/>
  <c r="AL497" i="61"/>
  <c r="AJ497" i="61"/>
  <c r="AH497" i="61"/>
  <c r="AF497" i="61"/>
  <c r="AC497" i="61"/>
  <c r="AA497" i="61"/>
  <c r="Y497" i="61"/>
  <c r="W497" i="61"/>
  <c r="AP496" i="61"/>
  <c r="AL496" i="61"/>
  <c r="AJ496" i="61"/>
  <c r="AH496" i="61"/>
  <c r="AF496" i="61"/>
  <c r="AC496" i="61"/>
  <c r="AA496" i="61"/>
  <c r="Y496" i="61"/>
  <c r="W496" i="61"/>
  <c r="AP495" i="61"/>
  <c r="AL495" i="61"/>
  <c r="AJ495" i="61"/>
  <c r="AH495" i="61"/>
  <c r="AF495" i="61"/>
  <c r="AA495" i="61"/>
  <c r="Y495" i="61"/>
  <c r="AP494" i="61"/>
  <c r="AL494" i="61"/>
  <c r="AJ494" i="61"/>
  <c r="AH494" i="61"/>
  <c r="AF494" i="61"/>
  <c r="AC494" i="61"/>
  <c r="AA494" i="61"/>
  <c r="Y494" i="61"/>
  <c r="W494" i="61"/>
  <c r="AP493" i="61"/>
  <c r="AL493" i="61"/>
  <c r="AJ493" i="61"/>
  <c r="AH493" i="61"/>
  <c r="AF493" i="61"/>
  <c r="AC493" i="61"/>
  <c r="AA493" i="61"/>
  <c r="Y493" i="61"/>
  <c r="W493" i="61"/>
  <c r="AP492" i="61"/>
  <c r="AL492" i="61"/>
  <c r="AJ492" i="61"/>
  <c r="AH492" i="61"/>
  <c r="AF492" i="61"/>
  <c r="AC492" i="61"/>
  <c r="AA492" i="61"/>
  <c r="Y492" i="61"/>
  <c r="W492" i="61"/>
  <c r="AP491" i="61"/>
  <c r="AL491" i="61"/>
  <c r="AJ491" i="61"/>
  <c r="AH491" i="61"/>
  <c r="AF491" i="61"/>
  <c r="AC491" i="61"/>
  <c r="AA491" i="61"/>
  <c r="Y491" i="61"/>
  <c r="W491" i="61"/>
  <c r="AP490" i="61"/>
  <c r="AL490" i="61"/>
  <c r="AH490" i="61"/>
  <c r="AF490" i="61"/>
  <c r="AC490" i="61"/>
  <c r="AA490" i="61"/>
  <c r="Y490" i="61"/>
  <c r="W490" i="61"/>
  <c r="AP489" i="61"/>
  <c r="AL489" i="61"/>
  <c r="AJ489" i="61"/>
  <c r="AH489" i="61"/>
  <c r="AF489" i="61"/>
  <c r="AC489" i="61"/>
  <c r="AA489" i="61"/>
  <c r="Y489" i="61"/>
  <c r="W489" i="61"/>
  <c r="AP488" i="61"/>
  <c r="AL488" i="61"/>
  <c r="AJ488" i="61"/>
  <c r="AH488" i="61"/>
  <c r="AF488" i="61"/>
  <c r="AC488" i="61"/>
  <c r="AA488" i="61"/>
  <c r="Y488" i="61"/>
  <c r="W488" i="61"/>
  <c r="AP487" i="61"/>
  <c r="AL487" i="61"/>
  <c r="AJ487" i="61"/>
  <c r="AH487" i="61"/>
  <c r="AF487" i="61"/>
  <c r="AC487" i="61"/>
  <c r="AA487" i="61"/>
  <c r="Y487" i="61"/>
  <c r="W487" i="61"/>
  <c r="AP486" i="61"/>
  <c r="AL486" i="61"/>
  <c r="AF486" i="61"/>
  <c r="AC486" i="61"/>
  <c r="AA486" i="61"/>
  <c r="Y486" i="61"/>
  <c r="W486" i="61"/>
  <c r="AP485" i="61"/>
  <c r="AL485" i="61"/>
  <c r="AJ485" i="61"/>
  <c r="AH485" i="61"/>
  <c r="AF485" i="61"/>
  <c r="AC485" i="61"/>
  <c r="AA485" i="61"/>
  <c r="Y485" i="61"/>
  <c r="W485" i="61"/>
  <c r="AP484" i="61"/>
  <c r="AL484" i="61"/>
  <c r="AJ484" i="61"/>
  <c r="AH484" i="61"/>
  <c r="AF484" i="61"/>
  <c r="AC484" i="61"/>
  <c r="AA484" i="61"/>
  <c r="Y484" i="61"/>
  <c r="W484" i="61"/>
  <c r="AP483" i="61"/>
  <c r="AL483" i="61"/>
  <c r="AJ483" i="61"/>
  <c r="AH483" i="61"/>
  <c r="AF483" i="61"/>
  <c r="AC483" i="61"/>
  <c r="AA483" i="61"/>
  <c r="Y483" i="61"/>
  <c r="W483" i="61"/>
  <c r="AP482" i="61"/>
  <c r="AL482" i="61"/>
  <c r="AJ482" i="61"/>
  <c r="AH482" i="61"/>
  <c r="AF482" i="61"/>
  <c r="AC482" i="61"/>
  <c r="AA482" i="61"/>
  <c r="Y482" i="61"/>
  <c r="W482" i="61"/>
  <c r="AP481" i="61"/>
  <c r="AL481" i="61"/>
  <c r="AJ481" i="61"/>
  <c r="AH481" i="61"/>
  <c r="AF481" i="61"/>
  <c r="AC481" i="61"/>
  <c r="AA481" i="61"/>
  <c r="Y481" i="61"/>
  <c r="W481" i="61"/>
  <c r="AP480" i="61"/>
  <c r="AL480" i="61"/>
  <c r="AJ480" i="61"/>
  <c r="AF480" i="61"/>
  <c r="AC480" i="61"/>
  <c r="AA480" i="61"/>
  <c r="Y480" i="61"/>
  <c r="W480" i="61"/>
  <c r="AP479" i="61"/>
  <c r="AL479" i="61"/>
  <c r="AJ479" i="61"/>
  <c r="AH479" i="61"/>
  <c r="AF479" i="61"/>
  <c r="AC479" i="61"/>
  <c r="AA479" i="61"/>
  <c r="Y479" i="61"/>
  <c r="W479" i="61"/>
  <c r="AP478" i="61"/>
  <c r="AL478" i="61"/>
  <c r="AJ478" i="61"/>
  <c r="AH478" i="61"/>
  <c r="AF478" i="61"/>
  <c r="AC478" i="61"/>
  <c r="AA478" i="61"/>
  <c r="Y478" i="61"/>
  <c r="W478" i="61"/>
  <c r="AP477" i="61"/>
  <c r="AL477" i="61"/>
  <c r="AJ477" i="61"/>
  <c r="AH477" i="61"/>
  <c r="AF477" i="61"/>
  <c r="AC477" i="61"/>
  <c r="AA477" i="61"/>
  <c r="Y477" i="61"/>
  <c r="W477" i="61"/>
  <c r="AP476" i="61"/>
  <c r="AL476" i="61"/>
  <c r="AJ476" i="61"/>
  <c r="AH476" i="61"/>
  <c r="AF476" i="61"/>
  <c r="AC476" i="61"/>
  <c r="AA476" i="61"/>
  <c r="Y476" i="61"/>
  <c r="W476" i="61"/>
  <c r="AP475" i="61"/>
  <c r="AL475" i="61"/>
  <c r="AJ475" i="61"/>
  <c r="AH475" i="61"/>
  <c r="AF475" i="61"/>
  <c r="AC475" i="61"/>
  <c r="AA475" i="61"/>
  <c r="Y475" i="61"/>
  <c r="W475" i="61"/>
  <c r="AP474" i="61"/>
  <c r="AL474" i="61"/>
  <c r="AJ474" i="61"/>
  <c r="AH474" i="61"/>
  <c r="AF474" i="61"/>
  <c r="AA474" i="61"/>
  <c r="Y474" i="61"/>
  <c r="AP473" i="61"/>
  <c r="AL473" i="61"/>
  <c r="AJ473" i="61"/>
  <c r="AH473" i="61"/>
  <c r="AF473" i="61"/>
  <c r="AC473" i="61"/>
  <c r="AA473" i="61"/>
  <c r="Y473" i="61"/>
  <c r="W473" i="61"/>
  <c r="AP472" i="61"/>
  <c r="AL472" i="61"/>
  <c r="AJ472" i="61"/>
  <c r="AH472" i="61"/>
  <c r="AF472" i="61"/>
  <c r="AC472" i="61"/>
  <c r="AA472" i="61"/>
  <c r="Y472" i="61"/>
  <c r="W472" i="61"/>
  <c r="AP471" i="61"/>
  <c r="AO471" i="61"/>
  <c r="AN471" i="61"/>
  <c r="AM471" i="61"/>
  <c r="AL471" i="61"/>
  <c r="AJ471" i="61"/>
  <c r="AH471" i="61"/>
  <c r="AF471" i="61"/>
  <c r="AC471" i="61"/>
  <c r="AA471" i="61"/>
  <c r="Y471" i="61"/>
  <c r="W471" i="61"/>
  <c r="AP470" i="61"/>
  <c r="AO470" i="61"/>
  <c r="AN470" i="61"/>
  <c r="AM470" i="61"/>
  <c r="AL470" i="61"/>
  <c r="AJ470" i="61"/>
  <c r="AH470" i="61"/>
  <c r="AF470" i="61"/>
  <c r="AC470" i="61"/>
  <c r="AA470" i="61"/>
  <c r="Y470" i="61"/>
  <c r="W470" i="61"/>
  <c r="AP469" i="61"/>
  <c r="AL469" i="61"/>
  <c r="AJ469" i="61"/>
  <c r="AH469" i="61"/>
  <c r="AF469" i="61"/>
  <c r="AC469" i="61"/>
  <c r="AA469" i="61"/>
  <c r="Y469" i="61"/>
  <c r="W469" i="61"/>
  <c r="AP468" i="61"/>
  <c r="AL468" i="61"/>
  <c r="AJ468" i="61"/>
  <c r="AH468" i="61"/>
  <c r="AF468" i="61"/>
  <c r="AC468" i="61"/>
  <c r="AA468" i="61"/>
  <c r="Y468" i="61"/>
  <c r="W468" i="61"/>
  <c r="AP467" i="61"/>
  <c r="AL467" i="61"/>
  <c r="AJ467" i="61"/>
  <c r="AH467" i="61"/>
  <c r="AF467" i="61"/>
  <c r="AC467" i="61"/>
  <c r="AA467" i="61"/>
  <c r="Y467" i="61"/>
  <c r="W467" i="61"/>
  <c r="AP466" i="61"/>
  <c r="AL466" i="61"/>
  <c r="AJ466" i="61"/>
  <c r="AH466" i="61"/>
  <c r="AF466" i="61"/>
  <c r="AC466" i="61"/>
  <c r="AA466" i="61"/>
  <c r="Y466" i="61"/>
  <c r="W466" i="61"/>
  <c r="AP465" i="61"/>
  <c r="AL465" i="61"/>
  <c r="AJ465" i="61"/>
  <c r="AH465" i="61"/>
  <c r="AF465" i="61"/>
  <c r="AC465" i="61"/>
  <c r="AA465" i="61"/>
  <c r="Y465" i="61"/>
  <c r="W465" i="61"/>
  <c r="AP464" i="61"/>
  <c r="AL464" i="61"/>
  <c r="AJ464" i="61"/>
  <c r="AH464" i="61"/>
  <c r="AF464" i="61"/>
  <c r="AC464" i="61"/>
  <c r="AA464" i="61"/>
  <c r="Y464" i="61"/>
  <c r="W464" i="61"/>
  <c r="AP463" i="61"/>
  <c r="AL463" i="61"/>
  <c r="AJ463" i="61"/>
  <c r="AH463" i="61"/>
  <c r="AF463" i="61"/>
  <c r="AC463" i="61"/>
  <c r="AA463" i="61"/>
  <c r="Y463" i="61"/>
  <c r="W463" i="61"/>
  <c r="AP462" i="61"/>
  <c r="AL462" i="61"/>
  <c r="AJ462" i="61"/>
  <c r="AH462" i="61"/>
  <c r="AF462" i="61"/>
  <c r="AC462" i="61"/>
  <c r="AA462" i="61"/>
  <c r="Y462" i="61"/>
  <c r="W462" i="61"/>
  <c r="AP461" i="61"/>
  <c r="AL461" i="61"/>
  <c r="AJ461" i="61"/>
  <c r="AH461" i="61"/>
  <c r="AF461" i="61"/>
  <c r="AC461" i="61"/>
  <c r="AA461" i="61"/>
  <c r="Y461" i="61"/>
  <c r="W461" i="61"/>
  <c r="AP460" i="61"/>
  <c r="AL460" i="61"/>
  <c r="AJ460" i="61"/>
  <c r="AH460" i="61"/>
  <c r="AF460" i="61"/>
  <c r="AC460" i="61"/>
  <c r="AA460" i="61"/>
  <c r="Y460" i="61"/>
  <c r="W460" i="61"/>
  <c r="AP459" i="61"/>
  <c r="AL459" i="61"/>
  <c r="AJ459" i="61"/>
  <c r="AH459" i="61"/>
  <c r="AF459" i="61"/>
  <c r="AC459" i="61"/>
  <c r="AA459" i="61"/>
  <c r="Y459" i="61"/>
  <c r="W459" i="61"/>
  <c r="AP458" i="61"/>
  <c r="AL458" i="61"/>
  <c r="AJ458" i="61"/>
  <c r="AH458" i="61"/>
  <c r="AF458" i="61"/>
  <c r="AC458" i="61"/>
  <c r="AA458" i="61"/>
  <c r="Y458" i="61"/>
  <c r="W458" i="61"/>
  <c r="AP457" i="61"/>
  <c r="AL457" i="61"/>
  <c r="AJ457" i="61"/>
  <c r="AH457" i="61"/>
  <c r="AF457" i="61"/>
  <c r="AC457" i="61"/>
  <c r="AA457" i="61"/>
  <c r="Y457" i="61"/>
  <c r="W457" i="61"/>
  <c r="AP456" i="61"/>
  <c r="AL456" i="61"/>
  <c r="AJ456" i="61"/>
  <c r="AH456" i="61"/>
  <c r="AF456" i="61"/>
  <c r="AC456" i="61"/>
  <c r="AA456" i="61"/>
  <c r="Y456" i="61"/>
  <c r="W456" i="61"/>
  <c r="AP455" i="61"/>
  <c r="AL455" i="61"/>
  <c r="AJ455" i="61"/>
  <c r="AH455" i="61"/>
  <c r="AF455" i="61"/>
  <c r="AC455" i="61"/>
  <c r="AA455" i="61"/>
  <c r="Y455" i="61"/>
  <c r="W455" i="61"/>
  <c r="AP454" i="61"/>
  <c r="AL454" i="61"/>
  <c r="AJ454" i="61"/>
  <c r="AH454" i="61"/>
  <c r="AF454" i="61"/>
  <c r="AA454" i="61"/>
  <c r="Y454" i="61"/>
  <c r="AP453" i="61"/>
  <c r="AO453" i="61"/>
  <c r="AN453" i="61"/>
  <c r="AM453" i="61"/>
  <c r="AL453" i="61"/>
  <c r="AJ453" i="61"/>
  <c r="AH453" i="61"/>
  <c r="AF453" i="61"/>
  <c r="AC453" i="61"/>
  <c r="AA453" i="61"/>
  <c r="Y453" i="61"/>
  <c r="W453" i="61"/>
  <c r="AP452" i="61"/>
  <c r="AL452" i="61"/>
  <c r="AJ452" i="61"/>
  <c r="AH452" i="61"/>
  <c r="AF452" i="61"/>
  <c r="AC452" i="61"/>
  <c r="AA452" i="61"/>
  <c r="Y452" i="61"/>
  <c r="W452" i="61"/>
  <c r="AP451" i="61"/>
  <c r="AL451" i="61"/>
  <c r="AJ451" i="61"/>
  <c r="AH451" i="61"/>
  <c r="AF451" i="61"/>
  <c r="AC451" i="61"/>
  <c r="AA451" i="61"/>
  <c r="Y451" i="61"/>
  <c r="W451" i="61"/>
  <c r="AP450" i="61"/>
  <c r="AL450" i="61"/>
  <c r="AJ450" i="61"/>
  <c r="AH450" i="61"/>
  <c r="AF450" i="61"/>
  <c r="AC450" i="61"/>
  <c r="AA450" i="61"/>
  <c r="Y450" i="61"/>
  <c r="W450" i="61"/>
  <c r="AP449" i="61"/>
  <c r="AL449" i="61"/>
  <c r="AJ449" i="61"/>
  <c r="AH449" i="61"/>
  <c r="AF449" i="61"/>
  <c r="AC449" i="61"/>
  <c r="AA449" i="61"/>
  <c r="Y449" i="61"/>
  <c r="W449" i="61"/>
  <c r="AP448" i="61"/>
  <c r="AL448" i="61"/>
  <c r="AJ448" i="61"/>
  <c r="AH448" i="61"/>
  <c r="AF448" i="61"/>
  <c r="AC448" i="61"/>
  <c r="AA448" i="61"/>
  <c r="Y448" i="61"/>
  <c r="W448" i="61"/>
  <c r="AP447" i="61"/>
  <c r="AL447" i="61"/>
  <c r="AJ447" i="61"/>
  <c r="AH447" i="61"/>
  <c r="AF447" i="61"/>
  <c r="AC447" i="61"/>
  <c r="AA447" i="61"/>
  <c r="Y447" i="61"/>
  <c r="W447" i="61"/>
  <c r="AP446" i="61"/>
  <c r="AL446" i="61"/>
  <c r="AJ446" i="61"/>
  <c r="AH446" i="61"/>
  <c r="AF446" i="61"/>
  <c r="AC446" i="61"/>
  <c r="AA446" i="61"/>
  <c r="Y446" i="61"/>
  <c r="W446" i="61"/>
  <c r="AP445" i="61"/>
  <c r="AL445" i="61"/>
  <c r="AJ445" i="61"/>
  <c r="AH445" i="61"/>
  <c r="AF445" i="61"/>
  <c r="AC445" i="61"/>
  <c r="AA445" i="61"/>
  <c r="Y445" i="61"/>
  <c r="W445" i="61"/>
  <c r="AP444" i="61"/>
  <c r="AL444" i="61"/>
  <c r="AJ444" i="61"/>
  <c r="AH444" i="61"/>
  <c r="AF444" i="61"/>
  <c r="AA444" i="61"/>
  <c r="Y444" i="61"/>
  <c r="AP443" i="61"/>
  <c r="AL443" i="61"/>
  <c r="AJ443" i="61"/>
  <c r="AH443" i="61"/>
  <c r="AF443" i="61"/>
  <c r="AC443" i="61"/>
  <c r="AA443" i="61"/>
  <c r="Y443" i="61"/>
  <c r="W443" i="61"/>
  <c r="AP442" i="61"/>
  <c r="AL442" i="61"/>
  <c r="AJ442" i="61"/>
  <c r="AH442" i="61"/>
  <c r="AF442" i="61"/>
  <c r="AC442" i="61"/>
  <c r="AA442" i="61"/>
  <c r="Y442" i="61"/>
  <c r="W442" i="61"/>
  <c r="AP441" i="61"/>
  <c r="AL441" i="61"/>
  <c r="AJ441" i="61"/>
  <c r="AH441" i="61"/>
  <c r="AF441" i="61"/>
  <c r="AC441" i="61"/>
  <c r="AA441" i="61"/>
  <c r="Y441" i="61"/>
  <c r="W441" i="61"/>
  <c r="AP440" i="61"/>
  <c r="AL440" i="61"/>
  <c r="AJ440" i="61"/>
  <c r="AH440" i="61"/>
  <c r="AF440" i="61"/>
  <c r="AC440" i="61"/>
  <c r="AA440" i="61"/>
  <c r="Y440" i="61"/>
  <c r="W440" i="61"/>
  <c r="AP439" i="61"/>
  <c r="AL439" i="61"/>
  <c r="AJ439" i="61"/>
  <c r="AF439" i="61"/>
  <c r="AC439" i="61"/>
  <c r="AA439" i="61"/>
  <c r="Y439" i="61"/>
  <c r="W439" i="61"/>
  <c r="AP438" i="61"/>
  <c r="AL438" i="61"/>
  <c r="AJ438" i="61"/>
  <c r="AH438" i="61"/>
  <c r="AF438" i="61"/>
  <c r="AC438" i="61"/>
  <c r="AA438" i="61"/>
  <c r="Y438" i="61"/>
  <c r="W438" i="61"/>
  <c r="AP437" i="61"/>
  <c r="AL437" i="61"/>
  <c r="AJ437" i="61"/>
  <c r="AH437" i="61"/>
  <c r="AF437" i="61"/>
  <c r="AC437" i="61"/>
  <c r="AA437" i="61"/>
  <c r="Y437" i="61"/>
  <c r="W437" i="61"/>
  <c r="AP436" i="61"/>
  <c r="AL436" i="61"/>
  <c r="AJ436" i="61"/>
  <c r="AH436" i="61"/>
  <c r="AF436" i="61"/>
  <c r="AC436" i="61"/>
  <c r="AA436" i="61"/>
  <c r="Y436" i="61"/>
  <c r="W436" i="61"/>
  <c r="AP435" i="61"/>
  <c r="AL435" i="61"/>
  <c r="AJ435" i="61"/>
  <c r="AH435" i="61"/>
  <c r="AF435" i="61"/>
  <c r="AC435" i="61"/>
  <c r="AA435" i="61"/>
  <c r="Y435" i="61"/>
  <c r="W435" i="61"/>
  <c r="AP434" i="61"/>
  <c r="AL434" i="61"/>
  <c r="AJ434" i="61"/>
  <c r="AH434" i="61"/>
  <c r="AF434" i="61"/>
  <c r="AC434" i="61"/>
  <c r="AA434" i="61"/>
  <c r="Y434" i="61"/>
  <c r="W434" i="61"/>
  <c r="AP433" i="61"/>
  <c r="AL433" i="61"/>
  <c r="AJ433" i="61"/>
  <c r="AH433" i="61"/>
  <c r="AF433" i="61"/>
  <c r="AC433" i="61"/>
  <c r="AA433" i="61"/>
  <c r="Y433" i="61"/>
  <c r="W433" i="61"/>
  <c r="AP432" i="61"/>
  <c r="AL432" i="61"/>
  <c r="AJ432" i="61"/>
  <c r="AH432" i="61"/>
  <c r="AF432" i="61"/>
  <c r="AC432" i="61"/>
  <c r="AA432" i="61"/>
  <c r="Y432" i="61"/>
  <c r="W432" i="61"/>
  <c r="AP431" i="61"/>
  <c r="AL431" i="61"/>
  <c r="AJ431" i="61"/>
  <c r="AH431" i="61"/>
  <c r="AF431" i="61"/>
  <c r="AC431" i="61"/>
  <c r="AA431" i="61"/>
  <c r="Y431" i="61"/>
  <c r="W431" i="61"/>
  <c r="AP430" i="61"/>
  <c r="AL430" i="61"/>
  <c r="AJ430" i="61"/>
  <c r="AH430" i="61"/>
  <c r="AF430" i="61"/>
  <c r="AC430" i="61"/>
  <c r="AA430" i="61"/>
  <c r="Y430" i="61"/>
  <c r="W430" i="61"/>
  <c r="AP429" i="61"/>
  <c r="AL429" i="61"/>
  <c r="AJ429" i="61"/>
  <c r="AH429" i="61"/>
  <c r="AF429" i="61"/>
  <c r="AC429" i="61"/>
  <c r="AA429" i="61"/>
  <c r="Y429" i="61"/>
  <c r="W429" i="61"/>
  <c r="AP428" i="61"/>
  <c r="AL428" i="61"/>
  <c r="AJ428" i="61"/>
  <c r="AH428" i="61"/>
  <c r="AF428" i="61"/>
  <c r="AC428" i="61"/>
  <c r="AA428" i="61"/>
  <c r="Y428" i="61"/>
  <c r="W428" i="61"/>
  <c r="AP427" i="61"/>
  <c r="AL427" i="61"/>
  <c r="AJ427" i="61"/>
  <c r="AH427" i="61"/>
  <c r="AF427" i="61"/>
  <c r="AC427" i="61"/>
  <c r="Y427" i="61"/>
  <c r="W427" i="61"/>
  <c r="AP426" i="61"/>
  <c r="AL426" i="61"/>
  <c r="AJ426" i="61"/>
  <c r="AH426" i="61"/>
  <c r="AF426" i="61"/>
  <c r="AC426" i="61"/>
  <c r="AA426" i="61"/>
  <c r="Y426" i="61"/>
  <c r="W426" i="61"/>
  <c r="AP425" i="61"/>
  <c r="AL425" i="61"/>
  <c r="AJ425" i="61"/>
  <c r="AH425" i="61"/>
  <c r="AF425" i="61"/>
  <c r="AC425" i="61"/>
  <c r="AA425" i="61"/>
  <c r="Y425" i="61"/>
  <c r="W425" i="61"/>
  <c r="AP424" i="61"/>
  <c r="AL424" i="61"/>
  <c r="AJ424" i="61"/>
  <c r="AH424" i="61"/>
  <c r="AF424" i="61"/>
  <c r="AC424" i="61"/>
  <c r="AA424" i="61"/>
  <c r="Y424" i="61"/>
  <c r="W424" i="61"/>
  <c r="AP423" i="61"/>
  <c r="AL423" i="61"/>
  <c r="AJ423" i="61"/>
  <c r="AH423" i="61"/>
  <c r="AF423" i="61"/>
  <c r="AA423" i="61"/>
  <c r="Y423" i="61"/>
  <c r="AP422" i="61"/>
  <c r="AL422" i="61"/>
  <c r="AJ422" i="61"/>
  <c r="AH422" i="61"/>
  <c r="AF422" i="61"/>
  <c r="AC422" i="61"/>
  <c r="AA422" i="61"/>
  <c r="Y422" i="61"/>
  <c r="W422" i="61"/>
  <c r="AP421" i="61"/>
  <c r="AL421" i="61"/>
  <c r="AJ421" i="61"/>
  <c r="AH421" i="61"/>
  <c r="AF421" i="61"/>
  <c r="AC421" i="61"/>
  <c r="AA421" i="61"/>
  <c r="Y421" i="61"/>
  <c r="W421" i="61"/>
  <c r="AP420" i="61"/>
  <c r="AO420" i="61"/>
  <c r="AN420" i="61"/>
  <c r="AM420" i="61"/>
  <c r="AL420" i="61"/>
  <c r="AJ420" i="61"/>
  <c r="AH420" i="61"/>
  <c r="AF420" i="61"/>
  <c r="AC420" i="61"/>
  <c r="AA420" i="61"/>
  <c r="Y420" i="61"/>
  <c r="W420" i="61"/>
  <c r="AP419" i="61"/>
  <c r="AO419" i="61"/>
  <c r="AN419" i="61"/>
  <c r="AM419" i="61"/>
  <c r="AL419" i="61"/>
  <c r="AJ419" i="61"/>
  <c r="AH419" i="61"/>
  <c r="AF419" i="61"/>
  <c r="AC419" i="61"/>
  <c r="AA419" i="61"/>
  <c r="Y419" i="61"/>
  <c r="W419" i="61"/>
  <c r="AP418" i="61"/>
  <c r="AL418" i="61"/>
  <c r="AJ418" i="61"/>
  <c r="AH418" i="61"/>
  <c r="AF418" i="61"/>
  <c r="AC418" i="61"/>
  <c r="AA418" i="61"/>
  <c r="Y418" i="61"/>
  <c r="W418" i="61"/>
  <c r="AP417" i="61"/>
  <c r="AL417" i="61"/>
  <c r="AJ417" i="61"/>
  <c r="AH417" i="61"/>
  <c r="AF417" i="61"/>
  <c r="AC417" i="61"/>
  <c r="AA417" i="61"/>
  <c r="Y417" i="61"/>
  <c r="W417" i="61"/>
  <c r="AP416" i="61"/>
  <c r="AL416" i="61"/>
  <c r="AJ416" i="61"/>
  <c r="AH416" i="61"/>
  <c r="AF416" i="61"/>
  <c r="AC416" i="61"/>
  <c r="AA416" i="61"/>
  <c r="Y416" i="61"/>
  <c r="W416" i="61"/>
  <c r="AP415" i="61"/>
  <c r="AL415" i="61"/>
  <c r="AJ415" i="61"/>
  <c r="AH415" i="61"/>
  <c r="AF415" i="61"/>
  <c r="AC415" i="61"/>
  <c r="AA415" i="61"/>
  <c r="Y415" i="61"/>
  <c r="W415" i="61"/>
  <c r="AP414" i="61"/>
  <c r="AL414" i="61"/>
  <c r="AJ414" i="61"/>
  <c r="AH414" i="61"/>
  <c r="AF414" i="61"/>
  <c r="AC414" i="61"/>
  <c r="AA414" i="61"/>
  <c r="Y414" i="61"/>
  <c r="W414" i="61"/>
  <c r="AP413" i="61"/>
  <c r="AL413" i="61"/>
  <c r="AJ413" i="61"/>
  <c r="AH413" i="61"/>
  <c r="AF413" i="61"/>
  <c r="AC413" i="61"/>
  <c r="AA413" i="61"/>
  <c r="Y413" i="61"/>
  <c r="W413" i="61"/>
  <c r="AP412" i="61"/>
  <c r="AL412" i="61"/>
  <c r="AJ412" i="61"/>
  <c r="AH412" i="61"/>
  <c r="AF412" i="61"/>
  <c r="AC412" i="61"/>
  <c r="AA412" i="61"/>
  <c r="Y412" i="61"/>
  <c r="W412" i="61"/>
  <c r="AP411" i="61"/>
  <c r="AL411" i="61"/>
  <c r="AJ411" i="61"/>
  <c r="AH411" i="61"/>
  <c r="AF411" i="61"/>
  <c r="AC411" i="61"/>
  <c r="AA411" i="61"/>
  <c r="Y411" i="61"/>
  <c r="W411" i="61"/>
  <c r="AP410" i="61"/>
  <c r="AL410" i="61"/>
  <c r="AJ410" i="61"/>
  <c r="AH410" i="61"/>
  <c r="AF410" i="61"/>
  <c r="AC410" i="61"/>
  <c r="AA410" i="61"/>
  <c r="Y410" i="61"/>
  <c r="W410" i="61"/>
  <c r="AP409" i="61"/>
  <c r="AL409" i="61"/>
  <c r="AJ409" i="61"/>
  <c r="AH409" i="61"/>
  <c r="AF409" i="61"/>
  <c r="AC409" i="61"/>
  <c r="AA409" i="61"/>
  <c r="Y409" i="61"/>
  <c r="W409" i="61"/>
  <c r="AP408" i="61"/>
  <c r="AL408" i="61"/>
  <c r="AJ408" i="61"/>
  <c r="AH408" i="61"/>
  <c r="AF408" i="61"/>
  <c r="AC408" i="61"/>
  <c r="AA408" i="61"/>
  <c r="Y408" i="61"/>
  <c r="W408" i="61"/>
  <c r="AP407" i="61"/>
  <c r="AL407" i="61"/>
  <c r="AJ407" i="61"/>
  <c r="AH407" i="61"/>
  <c r="AF407" i="61"/>
  <c r="AC407" i="61"/>
  <c r="AA407" i="61"/>
  <c r="Y407" i="61"/>
  <c r="W407" i="61"/>
  <c r="AP406" i="61"/>
  <c r="AL406" i="61"/>
  <c r="AJ406" i="61"/>
  <c r="AH406" i="61"/>
  <c r="AF406" i="61"/>
  <c r="AC406" i="61"/>
  <c r="AA406" i="61"/>
  <c r="Y406" i="61"/>
  <c r="W406" i="61"/>
  <c r="AP405" i="61"/>
  <c r="AL405" i="61"/>
  <c r="AJ405" i="61"/>
  <c r="AH405" i="61"/>
  <c r="AF405" i="61"/>
  <c r="AC405" i="61"/>
  <c r="AA405" i="61"/>
  <c r="Y405" i="61"/>
  <c r="W405" i="61"/>
  <c r="AP404" i="61"/>
  <c r="AL404" i="61"/>
  <c r="AJ404" i="61"/>
  <c r="AH404" i="61"/>
  <c r="AF404" i="61"/>
  <c r="AC404" i="61"/>
  <c r="AA404" i="61"/>
  <c r="Y404" i="61"/>
  <c r="W404" i="61"/>
  <c r="AP403" i="61"/>
  <c r="AL403" i="61"/>
  <c r="AJ403" i="61"/>
  <c r="AH403" i="61"/>
  <c r="AF403" i="61"/>
  <c r="AA403" i="61"/>
  <c r="Y403" i="61"/>
  <c r="AP402" i="61"/>
  <c r="AL402" i="61"/>
  <c r="AJ402" i="61"/>
  <c r="AH402" i="61"/>
  <c r="AF402" i="61"/>
  <c r="AC402" i="61"/>
  <c r="AA402" i="61"/>
  <c r="Y402" i="61"/>
  <c r="W402" i="61"/>
  <c r="AP401" i="61"/>
  <c r="AO401" i="61"/>
  <c r="AN401" i="61"/>
  <c r="AM401" i="61"/>
  <c r="AL401" i="61"/>
  <c r="AJ401" i="61"/>
  <c r="AH401" i="61"/>
  <c r="AF401" i="61"/>
  <c r="AC401" i="61"/>
  <c r="AA401" i="61"/>
  <c r="Y401" i="61"/>
  <c r="W401" i="61"/>
  <c r="AP400" i="61"/>
  <c r="AL400" i="61"/>
  <c r="AJ400" i="61"/>
  <c r="AH400" i="61"/>
  <c r="AF400" i="61"/>
  <c r="AC400" i="61"/>
  <c r="AA400" i="61"/>
  <c r="Y400" i="61"/>
  <c r="W400" i="61"/>
  <c r="AP399" i="61"/>
  <c r="AL399" i="61"/>
  <c r="AJ399" i="61"/>
  <c r="AH399" i="61"/>
  <c r="AF399" i="61"/>
  <c r="AC399" i="61"/>
  <c r="AA399" i="61"/>
  <c r="Y399" i="61"/>
  <c r="W399" i="61"/>
  <c r="AP398" i="61"/>
  <c r="AL398" i="61"/>
  <c r="AJ398" i="61"/>
  <c r="AH398" i="61"/>
  <c r="AF398" i="61"/>
  <c r="AC398" i="61"/>
  <c r="AA398" i="61"/>
  <c r="Y398" i="61"/>
  <c r="W398" i="61"/>
  <c r="AP397" i="61"/>
  <c r="AL397" i="61"/>
  <c r="AJ397" i="61"/>
  <c r="AH397" i="61"/>
  <c r="AF397" i="61"/>
  <c r="AC397" i="61"/>
  <c r="AA397" i="61"/>
  <c r="Y397" i="61"/>
  <c r="W397" i="61"/>
  <c r="AP396" i="61"/>
  <c r="AL396" i="61"/>
  <c r="AJ396" i="61"/>
  <c r="AH396" i="61"/>
  <c r="AF396" i="61"/>
  <c r="AC396" i="61"/>
  <c r="AA396" i="61"/>
  <c r="Y396" i="61"/>
  <c r="W396" i="61"/>
  <c r="AP395" i="61"/>
  <c r="AL395" i="61"/>
  <c r="AJ395" i="61"/>
  <c r="AH395" i="61"/>
  <c r="AF395" i="61"/>
  <c r="AC395" i="61"/>
  <c r="AA395" i="61"/>
  <c r="Y395" i="61"/>
  <c r="W395" i="61"/>
  <c r="AP394" i="61"/>
  <c r="AL394" i="61"/>
  <c r="AJ394" i="61"/>
  <c r="AH394" i="61"/>
  <c r="AF394" i="61"/>
  <c r="AC394" i="61"/>
  <c r="AA394" i="61"/>
  <c r="Y394" i="61"/>
  <c r="W394" i="61"/>
  <c r="AP393" i="61"/>
  <c r="AL393" i="61"/>
  <c r="AJ393" i="61"/>
  <c r="AH393" i="61"/>
  <c r="AF393" i="61"/>
  <c r="AC393" i="61"/>
  <c r="AA393" i="61"/>
  <c r="Y393" i="61"/>
  <c r="W393" i="61"/>
  <c r="AP392" i="61"/>
  <c r="AL392" i="61"/>
  <c r="AJ392" i="61"/>
  <c r="AH392" i="61"/>
  <c r="AF392" i="61"/>
  <c r="AA392" i="61"/>
  <c r="Y392" i="61"/>
  <c r="AP391" i="61"/>
  <c r="AL391" i="61"/>
  <c r="AJ391" i="61"/>
  <c r="AH391" i="61"/>
  <c r="AF391" i="61"/>
  <c r="AC391" i="61"/>
  <c r="AA391" i="61"/>
  <c r="Y391" i="61"/>
  <c r="W391" i="61"/>
  <c r="AP390" i="61"/>
  <c r="AL390" i="61"/>
  <c r="AJ390" i="61"/>
  <c r="AH390" i="61"/>
  <c r="AF390" i="61"/>
  <c r="AC390" i="61"/>
  <c r="AA390" i="61"/>
  <c r="Y390" i="61"/>
  <c r="W390" i="61"/>
  <c r="AP389" i="61"/>
  <c r="AL389" i="61"/>
  <c r="AJ389" i="61"/>
  <c r="AH389" i="61"/>
  <c r="AF389" i="61"/>
  <c r="AC389" i="61"/>
  <c r="AA389" i="61"/>
  <c r="Y389" i="61"/>
  <c r="W389" i="61"/>
  <c r="AP388" i="61"/>
  <c r="AL388" i="61"/>
  <c r="AJ388" i="61"/>
  <c r="AH388" i="61"/>
  <c r="AF388" i="61"/>
  <c r="AC388" i="61"/>
  <c r="AA388" i="61"/>
  <c r="Y388" i="61"/>
  <c r="W388" i="61"/>
  <c r="AP387" i="61"/>
  <c r="AL387" i="61"/>
  <c r="AJ387" i="61"/>
  <c r="AH387" i="61"/>
  <c r="AF387" i="61"/>
  <c r="AC387" i="61"/>
  <c r="AA387" i="61"/>
  <c r="Y387" i="61"/>
  <c r="W387" i="61"/>
  <c r="AP386" i="61"/>
  <c r="AL386" i="61"/>
  <c r="AJ386" i="61"/>
  <c r="AH386" i="61"/>
  <c r="AF386" i="61"/>
  <c r="AC386" i="61"/>
  <c r="AA386" i="61"/>
  <c r="Y386" i="61"/>
  <c r="W386" i="61"/>
  <c r="AP385" i="61"/>
  <c r="AL385" i="61"/>
  <c r="AJ385" i="61"/>
  <c r="AH385" i="61"/>
  <c r="AF385" i="61"/>
  <c r="AC385" i="61"/>
  <c r="AA385" i="61"/>
  <c r="Y385" i="61"/>
  <c r="W385" i="61"/>
  <c r="AP384" i="61"/>
  <c r="AL384" i="61"/>
  <c r="AJ384" i="61"/>
  <c r="AH384" i="61"/>
  <c r="AF384" i="61"/>
  <c r="AC384" i="61"/>
  <c r="AA384" i="61"/>
  <c r="Y384" i="61"/>
  <c r="W384" i="61"/>
  <c r="AP383" i="61"/>
  <c r="AL383" i="61"/>
  <c r="AJ383" i="61"/>
  <c r="AH383" i="61"/>
  <c r="AF383" i="61"/>
  <c r="AC383" i="61"/>
  <c r="AA383" i="61"/>
  <c r="Y383" i="61"/>
  <c r="W383" i="61"/>
  <c r="AP382" i="61"/>
  <c r="AL382" i="61"/>
  <c r="AJ382" i="61"/>
  <c r="AH382" i="61"/>
  <c r="AF382" i="61"/>
  <c r="AC382" i="61"/>
  <c r="AA382" i="61"/>
  <c r="Y382" i="61"/>
  <c r="W382" i="61"/>
  <c r="AP381" i="61"/>
  <c r="AL381" i="61"/>
  <c r="AJ381" i="61"/>
  <c r="AH381" i="61"/>
  <c r="AF381" i="61"/>
  <c r="AC381" i="61"/>
  <c r="AA381" i="61"/>
  <c r="Y381" i="61"/>
  <c r="W381" i="61"/>
  <c r="AP380" i="61"/>
  <c r="AL380" i="61"/>
  <c r="AJ380" i="61"/>
  <c r="AH380" i="61"/>
  <c r="AF380" i="61"/>
  <c r="AC380" i="61"/>
  <c r="AA380" i="61"/>
  <c r="Y380" i="61"/>
  <c r="W380" i="61"/>
  <c r="AP379" i="61"/>
  <c r="AL379" i="61"/>
  <c r="AJ379" i="61"/>
  <c r="AH379" i="61"/>
  <c r="AF379" i="61"/>
  <c r="AC379" i="61"/>
  <c r="AA379" i="61"/>
  <c r="Y379" i="61"/>
  <c r="W379" i="61"/>
  <c r="AP378" i="61"/>
  <c r="AL378" i="61"/>
  <c r="AJ378" i="61"/>
  <c r="AH378" i="61"/>
  <c r="AF378" i="61"/>
  <c r="AC378" i="61"/>
  <c r="AA378" i="61"/>
  <c r="Y378" i="61"/>
  <c r="W378" i="61"/>
  <c r="AP377" i="61"/>
  <c r="AL377" i="61"/>
  <c r="AJ377" i="61"/>
  <c r="AH377" i="61"/>
  <c r="AF377" i="61"/>
  <c r="AC377" i="61"/>
  <c r="AA377" i="61"/>
  <c r="Y377" i="61"/>
  <c r="W377" i="61"/>
  <c r="AP376" i="61"/>
  <c r="AL376" i="61"/>
  <c r="AJ376" i="61"/>
  <c r="AH376" i="61"/>
  <c r="AF376" i="61"/>
  <c r="AC376" i="61"/>
  <c r="AA376" i="61"/>
  <c r="Y376" i="61"/>
  <c r="W376" i="61"/>
  <c r="AP375" i="61"/>
  <c r="AL375" i="61"/>
  <c r="AJ375" i="61"/>
  <c r="AH375" i="61"/>
  <c r="AF375" i="61"/>
  <c r="AC375" i="61"/>
  <c r="AA375" i="61"/>
  <c r="W375" i="61"/>
  <c r="AP374" i="61"/>
  <c r="AL374" i="61"/>
  <c r="AJ374" i="61"/>
  <c r="AH374" i="61"/>
  <c r="AF374" i="61"/>
  <c r="AC374" i="61"/>
  <c r="AA374" i="61"/>
  <c r="Y374" i="61"/>
  <c r="W374" i="61"/>
  <c r="AP373" i="61"/>
  <c r="AL373" i="61"/>
  <c r="AJ373" i="61"/>
  <c r="AH373" i="61"/>
  <c r="AF373" i="61"/>
  <c r="AC373" i="61"/>
  <c r="AA373" i="61"/>
  <c r="Y373" i="61"/>
  <c r="W373" i="61"/>
  <c r="AP372" i="61"/>
  <c r="AL372" i="61"/>
  <c r="AJ372" i="61"/>
  <c r="AH372" i="61"/>
  <c r="AF372" i="61"/>
  <c r="AC372" i="61"/>
  <c r="AA372" i="61"/>
  <c r="Y372" i="61"/>
  <c r="W372" i="61"/>
  <c r="AP371" i="61"/>
  <c r="AL371" i="61"/>
  <c r="AJ371" i="61"/>
  <c r="AH371" i="61"/>
  <c r="AF371" i="61"/>
  <c r="AA371" i="61"/>
  <c r="Y371" i="61"/>
  <c r="AP370" i="61"/>
  <c r="AL370" i="61"/>
  <c r="AJ370" i="61"/>
  <c r="AH370" i="61"/>
  <c r="AF370" i="61"/>
  <c r="AC370" i="61"/>
  <c r="AA370" i="61"/>
  <c r="Y370" i="61"/>
  <c r="W370" i="61"/>
  <c r="AP369" i="61"/>
  <c r="AO369" i="61"/>
  <c r="AN369" i="61"/>
  <c r="AM369" i="61"/>
  <c r="AL369" i="61"/>
  <c r="AJ369" i="61"/>
  <c r="AH369" i="61"/>
  <c r="AF369" i="61"/>
  <c r="AC369" i="61"/>
  <c r="AA369" i="61"/>
  <c r="Y369" i="61"/>
  <c r="W369" i="61"/>
  <c r="AP368" i="61"/>
  <c r="AO368" i="61"/>
  <c r="AN368" i="61"/>
  <c r="AM368" i="61"/>
  <c r="AL368" i="61"/>
  <c r="AJ368" i="61"/>
  <c r="AH368" i="61"/>
  <c r="AF368" i="61"/>
  <c r="AC368" i="61"/>
  <c r="AA368" i="61"/>
  <c r="Y368" i="61"/>
  <c r="W368" i="61"/>
  <c r="AP367" i="61"/>
  <c r="AL367" i="61"/>
  <c r="AJ367" i="61"/>
  <c r="AH367" i="61"/>
  <c r="AF367" i="61"/>
  <c r="AC367" i="61"/>
  <c r="AA367" i="61"/>
  <c r="Y367" i="61"/>
  <c r="W367" i="61"/>
  <c r="AP366" i="61"/>
  <c r="AL366" i="61"/>
  <c r="AJ366" i="61"/>
  <c r="AH366" i="61"/>
  <c r="AF366" i="61"/>
  <c r="AC366" i="61"/>
  <c r="AA366" i="61"/>
  <c r="Y366" i="61"/>
  <c r="W366" i="61"/>
  <c r="AP365" i="61"/>
  <c r="AL365" i="61"/>
  <c r="AJ365" i="61"/>
  <c r="AH365" i="61"/>
  <c r="AF365" i="61"/>
  <c r="AC365" i="61"/>
  <c r="AA365" i="61"/>
  <c r="Y365" i="61"/>
  <c r="W365" i="61"/>
  <c r="AP364" i="61"/>
  <c r="AL364" i="61"/>
  <c r="AJ364" i="61"/>
  <c r="AH364" i="61"/>
  <c r="AF364" i="61"/>
  <c r="AC364" i="61"/>
  <c r="AA364" i="61"/>
  <c r="Y364" i="61"/>
  <c r="W364" i="61"/>
  <c r="AP363" i="61"/>
  <c r="AL363" i="61"/>
  <c r="AJ363" i="61"/>
  <c r="AH363" i="61"/>
  <c r="AF363" i="61"/>
  <c r="AC363" i="61"/>
  <c r="AA363" i="61"/>
  <c r="Y363" i="61"/>
  <c r="W363" i="61"/>
  <c r="AP362" i="61"/>
  <c r="AL362" i="61"/>
  <c r="AJ362" i="61"/>
  <c r="AH362" i="61"/>
  <c r="AF362" i="61"/>
  <c r="AC362" i="61"/>
  <c r="AA362" i="61"/>
  <c r="Y362" i="61"/>
  <c r="W362" i="61"/>
  <c r="AP361" i="61"/>
  <c r="AL361" i="61"/>
  <c r="AJ361" i="61"/>
  <c r="AH361" i="61"/>
  <c r="AF361" i="61"/>
  <c r="AC361" i="61"/>
  <c r="AA361" i="61"/>
  <c r="Y361" i="61"/>
  <c r="W361" i="61"/>
  <c r="AP360" i="61"/>
  <c r="AL360" i="61"/>
  <c r="AJ360" i="61"/>
  <c r="AH360" i="61"/>
  <c r="AF360" i="61"/>
  <c r="AC360" i="61"/>
  <c r="AA360" i="61"/>
  <c r="Y360" i="61"/>
  <c r="W360" i="61"/>
  <c r="AP359" i="61"/>
  <c r="AL359" i="61"/>
  <c r="AJ359" i="61"/>
  <c r="AH359" i="61"/>
  <c r="AF359" i="61"/>
  <c r="AC359" i="61"/>
  <c r="AA359" i="61"/>
  <c r="Y359" i="61"/>
  <c r="W359" i="61"/>
  <c r="AP358" i="61"/>
  <c r="AL358" i="61"/>
  <c r="AJ358" i="61"/>
  <c r="AH358" i="61"/>
  <c r="AF358" i="61"/>
  <c r="AC358" i="61"/>
  <c r="AA358" i="61"/>
  <c r="Y358" i="61"/>
  <c r="W358" i="61"/>
  <c r="AP357" i="61"/>
  <c r="AL357" i="61"/>
  <c r="AJ357" i="61"/>
  <c r="AH357" i="61"/>
  <c r="AF357" i="61"/>
  <c r="AC357" i="61"/>
  <c r="AA357" i="61"/>
  <c r="Y357" i="61"/>
  <c r="W357" i="61"/>
  <c r="AP356" i="61"/>
  <c r="AL356" i="61"/>
  <c r="AJ356" i="61"/>
  <c r="AH356" i="61"/>
  <c r="AF356" i="61"/>
  <c r="AC356" i="61"/>
  <c r="AA356" i="61"/>
  <c r="Y356" i="61"/>
  <c r="W356" i="61"/>
  <c r="AP355" i="61"/>
  <c r="AL355" i="61"/>
  <c r="AJ355" i="61"/>
  <c r="AH355" i="61"/>
  <c r="AF355" i="61"/>
  <c r="AC355" i="61"/>
  <c r="AA355" i="61"/>
  <c r="Y355" i="61"/>
  <c r="W355" i="61"/>
  <c r="AP354" i="61"/>
  <c r="AL354" i="61"/>
  <c r="AJ354" i="61"/>
  <c r="AH354" i="61"/>
  <c r="AF354" i="61"/>
  <c r="AC354" i="61"/>
  <c r="AA354" i="61"/>
  <c r="Y354" i="61"/>
  <c r="W354" i="61"/>
  <c r="AP353" i="61"/>
  <c r="AL353" i="61"/>
  <c r="AJ353" i="61"/>
  <c r="AH353" i="61"/>
  <c r="AF353" i="61"/>
  <c r="AC353" i="61"/>
  <c r="AA353" i="61"/>
  <c r="Y353" i="61"/>
  <c r="W353" i="61"/>
  <c r="AP352" i="61"/>
  <c r="AL352" i="61"/>
  <c r="AJ352" i="61"/>
  <c r="AH352" i="61"/>
  <c r="AF352" i="61"/>
  <c r="AA352" i="61"/>
  <c r="Y352" i="61"/>
  <c r="AP351" i="61"/>
  <c r="AL351" i="61"/>
  <c r="AJ351" i="61"/>
  <c r="AH351" i="61"/>
  <c r="AF351" i="61"/>
  <c r="AC351" i="61"/>
  <c r="AA351" i="61"/>
  <c r="Y351" i="61"/>
  <c r="W351" i="61"/>
  <c r="AP350" i="61"/>
  <c r="AL350" i="61"/>
  <c r="AJ350" i="61"/>
  <c r="AH350" i="61"/>
  <c r="AF350" i="61"/>
  <c r="AC350" i="61"/>
  <c r="AA350" i="61"/>
  <c r="Y350" i="61"/>
  <c r="W350" i="61"/>
  <c r="AP349" i="61"/>
  <c r="AL349" i="61"/>
  <c r="AJ349" i="61"/>
  <c r="AH349" i="61"/>
  <c r="AF349" i="61"/>
  <c r="AC349" i="61"/>
  <c r="AA349" i="61"/>
  <c r="Y349" i="61"/>
  <c r="W349" i="61"/>
  <c r="AP348" i="61"/>
  <c r="AL348" i="61"/>
  <c r="AJ348" i="61"/>
  <c r="AH348" i="61"/>
  <c r="AF348" i="61"/>
  <c r="AC348" i="61"/>
  <c r="AA348" i="61"/>
  <c r="Y348" i="61"/>
  <c r="W348" i="61"/>
  <c r="AP347" i="61"/>
  <c r="AL347" i="61"/>
  <c r="AJ347" i="61"/>
  <c r="AH347" i="61"/>
  <c r="AF347" i="61"/>
  <c r="AC347" i="61"/>
  <c r="AA347" i="61"/>
  <c r="Y347" i="61"/>
  <c r="W347" i="61"/>
  <c r="AP346" i="61"/>
  <c r="AL346" i="61"/>
  <c r="AJ346" i="61"/>
  <c r="AH346" i="61"/>
  <c r="AF346" i="61"/>
  <c r="AC346" i="61"/>
  <c r="AA346" i="61"/>
  <c r="Y346" i="61"/>
  <c r="W346" i="61"/>
  <c r="AP345" i="61"/>
  <c r="AL345" i="61"/>
  <c r="AJ345" i="61"/>
  <c r="AH345" i="61"/>
  <c r="AF345" i="61"/>
  <c r="AC345" i="61"/>
  <c r="AA345" i="61"/>
  <c r="Y345" i="61"/>
  <c r="W345" i="61"/>
  <c r="AP344" i="61"/>
  <c r="AL344" i="61"/>
  <c r="AJ344" i="61"/>
  <c r="AH344" i="61"/>
  <c r="AF344" i="61"/>
  <c r="AC344" i="61"/>
  <c r="AA344" i="61"/>
  <c r="Y344" i="61"/>
  <c r="W344" i="61"/>
  <c r="AP343" i="61"/>
  <c r="AL343" i="61"/>
  <c r="AJ343" i="61"/>
  <c r="AH343" i="61"/>
  <c r="AF343" i="61"/>
  <c r="AA343" i="61"/>
  <c r="Y343" i="61"/>
  <c r="AP342" i="61"/>
  <c r="AL342" i="61"/>
  <c r="AJ342" i="61"/>
  <c r="AH342" i="61"/>
  <c r="AF342" i="61"/>
  <c r="AC342" i="61"/>
  <c r="Y342" i="61"/>
  <c r="W342" i="61"/>
  <c r="AP341" i="61"/>
  <c r="AL341" i="61"/>
  <c r="AJ341" i="61"/>
  <c r="AH341" i="61"/>
  <c r="AF341" i="61"/>
  <c r="AC341" i="61"/>
  <c r="AA341" i="61"/>
  <c r="Y341" i="61"/>
  <c r="W341" i="61"/>
  <c r="AP340" i="61"/>
  <c r="AL340" i="61"/>
  <c r="AJ340" i="61"/>
  <c r="AH340" i="61"/>
  <c r="AF340" i="61"/>
  <c r="AC340" i="61"/>
  <c r="AA340" i="61"/>
  <c r="Y340" i="61"/>
  <c r="W340" i="61"/>
  <c r="AP339" i="61"/>
  <c r="AL339" i="61"/>
  <c r="AJ339" i="61"/>
  <c r="AH339" i="61"/>
  <c r="AF339" i="61"/>
  <c r="AC339" i="61"/>
  <c r="AA339" i="61"/>
  <c r="Y339" i="61"/>
  <c r="W339" i="61"/>
  <c r="AP338" i="61"/>
  <c r="AL338" i="61"/>
  <c r="AJ338" i="61"/>
  <c r="AH338" i="61"/>
  <c r="AF338" i="61"/>
  <c r="AC338" i="61"/>
  <c r="AA338" i="61"/>
  <c r="Y338" i="61"/>
  <c r="W338" i="61"/>
  <c r="AP337" i="61"/>
  <c r="AL337" i="61"/>
  <c r="AJ337" i="61"/>
  <c r="AH337" i="61"/>
  <c r="AF337" i="61"/>
  <c r="AC337" i="61"/>
  <c r="AA337" i="61"/>
  <c r="Y337" i="61"/>
  <c r="W337" i="61"/>
  <c r="AP336" i="61"/>
  <c r="AL336" i="61"/>
  <c r="AJ336" i="61"/>
  <c r="AH336" i="61"/>
  <c r="AF336" i="61"/>
  <c r="AC336" i="61"/>
  <c r="Y336" i="61"/>
  <c r="W336" i="61"/>
  <c r="AP335" i="61"/>
  <c r="AL335" i="61"/>
  <c r="AJ335" i="61"/>
  <c r="AH335" i="61"/>
  <c r="AF335" i="61"/>
  <c r="AC335" i="61"/>
  <c r="AA335" i="61"/>
  <c r="Y335" i="61"/>
  <c r="W335" i="61"/>
  <c r="AP334" i="61"/>
  <c r="AL334" i="61"/>
  <c r="AJ334" i="61"/>
  <c r="AH334" i="61"/>
  <c r="AF334" i="61"/>
  <c r="AC334" i="61"/>
  <c r="AA334" i="61"/>
  <c r="Y334" i="61"/>
  <c r="W334" i="61"/>
  <c r="AP333" i="61"/>
  <c r="AL333" i="61"/>
  <c r="AJ333" i="61"/>
  <c r="AH333" i="61"/>
  <c r="AF333" i="61"/>
  <c r="AC333" i="61"/>
  <c r="AA333" i="61"/>
  <c r="Y333" i="61"/>
  <c r="W333" i="61"/>
  <c r="AP332" i="61"/>
  <c r="AL332" i="61"/>
  <c r="AJ332" i="61"/>
  <c r="AH332" i="61"/>
  <c r="AF332" i="61"/>
  <c r="AC332" i="61"/>
  <c r="AA332" i="61"/>
  <c r="Y332" i="61"/>
  <c r="W332" i="61"/>
  <c r="AP331" i="61"/>
  <c r="AL331" i="61"/>
  <c r="AJ331" i="61"/>
  <c r="AH331" i="61"/>
  <c r="AF331" i="61"/>
  <c r="AC331" i="61"/>
  <c r="AA331" i="61"/>
  <c r="Y331" i="61"/>
  <c r="W331" i="61"/>
  <c r="AP330" i="61"/>
  <c r="AL330" i="61"/>
  <c r="AJ330" i="61"/>
  <c r="AH330" i="61"/>
  <c r="AF330" i="61"/>
  <c r="AC330" i="61"/>
  <c r="AA330" i="61"/>
  <c r="Y330" i="61"/>
  <c r="W330" i="61"/>
  <c r="AP329" i="61"/>
  <c r="AL329" i="61"/>
  <c r="AJ329" i="61"/>
  <c r="AH329" i="61"/>
  <c r="AF329" i="61"/>
  <c r="AC329" i="61"/>
  <c r="AA329" i="61"/>
  <c r="Y329" i="61"/>
  <c r="W329" i="61"/>
  <c r="AP328" i="61"/>
  <c r="AL328" i="61"/>
  <c r="AJ328" i="61"/>
  <c r="AH328" i="61"/>
  <c r="AF328" i="61"/>
  <c r="AC328" i="61"/>
  <c r="AA328" i="61"/>
  <c r="Y328" i="61"/>
  <c r="W328" i="61"/>
  <c r="AP327" i="61"/>
  <c r="AL327" i="61"/>
  <c r="AJ327" i="61"/>
  <c r="AH327" i="61"/>
  <c r="AC327" i="61"/>
  <c r="AA327" i="61"/>
  <c r="Y327" i="61"/>
  <c r="W327" i="61"/>
  <c r="AP326" i="61"/>
  <c r="AL326" i="61"/>
  <c r="AJ326" i="61"/>
  <c r="AH326" i="61"/>
  <c r="AF326" i="61"/>
  <c r="AC326" i="61"/>
  <c r="AA326" i="61"/>
  <c r="Y326" i="61"/>
  <c r="W326" i="61"/>
  <c r="AP325" i="61"/>
  <c r="AL325" i="61"/>
  <c r="AJ325" i="61"/>
  <c r="AH325" i="61"/>
  <c r="AF325" i="61"/>
  <c r="AC325" i="61"/>
  <c r="AA325" i="61"/>
  <c r="Y325" i="61"/>
  <c r="W325" i="61"/>
  <c r="AP324" i="61"/>
  <c r="AL324" i="61"/>
  <c r="AJ324" i="61"/>
  <c r="AH324" i="61"/>
  <c r="AF324" i="61"/>
  <c r="AA324" i="61"/>
  <c r="Y324" i="61"/>
  <c r="AP323" i="61"/>
  <c r="AL323" i="61"/>
  <c r="AJ323" i="61"/>
  <c r="AH323" i="61"/>
  <c r="AF323" i="61"/>
  <c r="AC323" i="61"/>
  <c r="AA323" i="61"/>
  <c r="Y323" i="61"/>
  <c r="W323" i="61"/>
  <c r="AP322" i="61"/>
  <c r="AL322" i="61"/>
  <c r="AJ322" i="61"/>
  <c r="AH322" i="61"/>
  <c r="AF322" i="61"/>
  <c r="AA322" i="61"/>
  <c r="Y322" i="61"/>
  <c r="AP321" i="61"/>
  <c r="AL321" i="61"/>
  <c r="AJ321" i="61"/>
  <c r="AH321" i="61"/>
  <c r="AF321" i="61"/>
  <c r="AC321" i="61"/>
  <c r="AA321" i="61"/>
  <c r="Y321" i="61"/>
  <c r="W321" i="61"/>
  <c r="AP320" i="61"/>
  <c r="AL320" i="61"/>
  <c r="AJ320" i="61"/>
  <c r="AH320" i="61"/>
  <c r="AF320" i="61"/>
  <c r="AC320" i="61"/>
  <c r="AA320" i="61"/>
  <c r="Y320" i="61"/>
  <c r="W320" i="61"/>
  <c r="AP319" i="61"/>
  <c r="AO319" i="61"/>
  <c r="AN319" i="61"/>
  <c r="AM319" i="61"/>
  <c r="AL319" i="61"/>
  <c r="AJ319" i="61"/>
  <c r="AH319" i="61"/>
  <c r="AF319" i="61"/>
  <c r="AC319" i="61"/>
  <c r="AA319" i="61"/>
  <c r="Y319" i="61"/>
  <c r="W319" i="61"/>
  <c r="AP318" i="61"/>
  <c r="AO318" i="61"/>
  <c r="AN318" i="61"/>
  <c r="AM318" i="61"/>
  <c r="AL318" i="61"/>
  <c r="AJ318" i="61"/>
  <c r="AH318" i="61"/>
  <c r="AF318" i="61"/>
  <c r="AC318" i="61"/>
  <c r="AA318" i="61"/>
  <c r="Y318" i="61"/>
  <c r="W318" i="61"/>
  <c r="AP317" i="61"/>
  <c r="AL317" i="61"/>
  <c r="AJ317" i="61"/>
  <c r="AH317" i="61"/>
  <c r="AF317" i="61"/>
  <c r="AC317" i="61"/>
  <c r="AA317" i="61"/>
  <c r="Y317" i="61"/>
  <c r="W317" i="61"/>
  <c r="AP316" i="61"/>
  <c r="AL316" i="61"/>
  <c r="AJ316" i="61"/>
  <c r="AH316" i="61"/>
  <c r="AF316" i="61"/>
  <c r="AC316" i="61"/>
  <c r="AA316" i="61"/>
  <c r="Y316" i="61"/>
  <c r="W316" i="61"/>
  <c r="AP315" i="61"/>
  <c r="AL315" i="61"/>
  <c r="AJ315" i="61"/>
  <c r="AH315" i="61"/>
  <c r="AF315" i="61"/>
  <c r="AC315" i="61"/>
  <c r="AA315" i="61"/>
  <c r="Y315" i="61"/>
  <c r="W315" i="61"/>
  <c r="AP314" i="61"/>
  <c r="AL314" i="61"/>
  <c r="AJ314" i="61"/>
  <c r="AH314" i="61"/>
  <c r="AF314" i="61"/>
  <c r="AC314" i="61"/>
  <c r="AA314" i="61"/>
  <c r="Y314" i="61"/>
  <c r="W314" i="61"/>
  <c r="AP313" i="61"/>
  <c r="AL313" i="61"/>
  <c r="AJ313" i="61"/>
  <c r="AH313" i="61"/>
  <c r="AF313" i="61"/>
  <c r="AC313" i="61"/>
  <c r="AA313" i="61"/>
  <c r="Y313" i="61"/>
  <c r="W313" i="61"/>
  <c r="AP312" i="61"/>
  <c r="AL312" i="61"/>
  <c r="AJ312" i="61"/>
  <c r="AH312" i="61"/>
  <c r="AF312" i="61"/>
  <c r="AC312" i="61"/>
  <c r="AA312" i="61"/>
  <c r="Y312" i="61"/>
  <c r="W312" i="61"/>
  <c r="AP311" i="61"/>
  <c r="AL311" i="61"/>
  <c r="AJ311" i="61"/>
  <c r="AH311" i="61"/>
  <c r="AF311" i="61"/>
  <c r="AC311" i="61"/>
  <c r="AA311" i="61"/>
  <c r="Y311" i="61"/>
  <c r="W311" i="61"/>
  <c r="AP310" i="61"/>
  <c r="AL310" i="61"/>
  <c r="AJ310" i="61"/>
  <c r="AH310" i="61"/>
  <c r="AF310" i="61"/>
  <c r="AC310" i="61"/>
  <c r="AA310" i="61"/>
  <c r="Y310" i="61"/>
  <c r="W310" i="61"/>
  <c r="AP309" i="61"/>
  <c r="AL309" i="61"/>
  <c r="AJ309" i="61"/>
  <c r="AH309" i="61"/>
  <c r="AF309" i="61"/>
  <c r="AC309" i="61"/>
  <c r="AA309" i="61"/>
  <c r="Y309" i="61"/>
  <c r="W309" i="61"/>
  <c r="AP308" i="61"/>
  <c r="AL308" i="61"/>
  <c r="AJ308" i="61"/>
  <c r="AH308" i="61"/>
  <c r="AF308" i="61"/>
  <c r="AC308" i="61"/>
  <c r="AA308" i="61"/>
  <c r="Y308" i="61"/>
  <c r="W308" i="61"/>
  <c r="AP307" i="61"/>
  <c r="AL307" i="61"/>
  <c r="AJ307" i="61"/>
  <c r="AH307" i="61"/>
  <c r="AF307" i="61"/>
  <c r="AC307" i="61"/>
  <c r="AA307" i="61"/>
  <c r="Y307" i="61"/>
  <c r="W307" i="61"/>
  <c r="AP306" i="61"/>
  <c r="AL306" i="61"/>
  <c r="AJ306" i="61"/>
  <c r="AH306" i="61"/>
  <c r="AF306" i="61"/>
  <c r="AC306" i="61"/>
  <c r="AA306" i="61"/>
  <c r="Y306" i="61"/>
  <c r="W306" i="61"/>
  <c r="AP305" i="61"/>
  <c r="AL305" i="61"/>
  <c r="AJ305" i="61"/>
  <c r="AH305" i="61"/>
  <c r="AF305" i="61"/>
  <c r="AC305" i="61"/>
  <c r="AA305" i="61"/>
  <c r="Y305" i="61"/>
  <c r="W305" i="61"/>
  <c r="AP304" i="61"/>
  <c r="AL304" i="61"/>
  <c r="AJ304" i="61"/>
  <c r="AH304" i="61"/>
  <c r="AF304" i="61"/>
  <c r="AC304" i="61"/>
  <c r="AA304" i="61"/>
  <c r="Y304" i="61"/>
  <c r="W304" i="61"/>
  <c r="AP303" i="61"/>
  <c r="AL303" i="61"/>
  <c r="AJ303" i="61"/>
  <c r="AH303" i="61"/>
  <c r="AF303" i="61"/>
  <c r="AC303" i="61"/>
  <c r="AA303" i="61"/>
  <c r="Y303" i="61"/>
  <c r="W303" i="61"/>
  <c r="AP302" i="61"/>
  <c r="AL302" i="61"/>
  <c r="AJ302" i="61"/>
  <c r="AH302" i="61"/>
  <c r="AF302" i="61"/>
  <c r="AA302" i="61"/>
  <c r="Y302" i="61"/>
  <c r="AP301" i="61"/>
  <c r="AL301" i="61"/>
  <c r="AJ301" i="61"/>
  <c r="AH301" i="61"/>
  <c r="AF301" i="61"/>
  <c r="AC301" i="61"/>
  <c r="AA301" i="61"/>
  <c r="Y301" i="61"/>
  <c r="W301" i="61"/>
  <c r="AP300" i="61"/>
  <c r="AL300" i="61"/>
  <c r="AJ300" i="61"/>
  <c r="AH300" i="61"/>
  <c r="AF300" i="61"/>
  <c r="AC300" i="61"/>
  <c r="AA300" i="61"/>
  <c r="Y300" i="61"/>
  <c r="W300" i="61"/>
  <c r="AP299" i="61"/>
  <c r="AL299" i="61"/>
  <c r="AJ299" i="61"/>
  <c r="AH299" i="61"/>
  <c r="AF299" i="61"/>
  <c r="AC299" i="61"/>
  <c r="AA299" i="61"/>
  <c r="Y299" i="61"/>
  <c r="W299" i="61"/>
  <c r="AP298" i="61"/>
  <c r="AL298" i="61"/>
  <c r="AJ298" i="61"/>
  <c r="AH298" i="61"/>
  <c r="AF298" i="61"/>
  <c r="AC298" i="61"/>
  <c r="AA298" i="61"/>
  <c r="Y298" i="61"/>
  <c r="W298" i="61"/>
  <c r="AP297" i="61"/>
  <c r="AL297" i="61"/>
  <c r="AJ297" i="61"/>
  <c r="AH297" i="61"/>
  <c r="AF297" i="61"/>
  <c r="AC297" i="61"/>
  <c r="AA297" i="61"/>
  <c r="Y297" i="61"/>
  <c r="W297" i="61"/>
  <c r="AP296" i="61"/>
  <c r="AL296" i="61"/>
  <c r="AJ296" i="61"/>
  <c r="AH296" i="61"/>
  <c r="AF296" i="61"/>
  <c r="AC296" i="61"/>
  <c r="AA296" i="61"/>
  <c r="Y296" i="61"/>
  <c r="W296" i="61"/>
  <c r="AP295" i="61"/>
  <c r="AL295" i="61"/>
  <c r="AJ295" i="61"/>
  <c r="AH295" i="61"/>
  <c r="AF295" i="61"/>
  <c r="AC295" i="61"/>
  <c r="AA295" i="61"/>
  <c r="Y295" i="61"/>
  <c r="W295" i="61"/>
  <c r="AP294" i="61"/>
  <c r="AL294" i="61"/>
  <c r="AJ294" i="61"/>
  <c r="AH294" i="61"/>
  <c r="AF294" i="61"/>
  <c r="AC294" i="61"/>
  <c r="AA294" i="61"/>
  <c r="Y294" i="61"/>
  <c r="W294" i="61"/>
  <c r="AP293" i="61"/>
  <c r="AL293" i="61"/>
  <c r="AJ293" i="61"/>
  <c r="AH293" i="61"/>
  <c r="AF293" i="61"/>
  <c r="AC293" i="61"/>
  <c r="AA293" i="61"/>
  <c r="Y293" i="61"/>
  <c r="W293" i="61"/>
  <c r="AP292" i="61"/>
  <c r="AL292" i="61"/>
  <c r="AJ292" i="61"/>
  <c r="AH292" i="61"/>
  <c r="AF292" i="61"/>
  <c r="AC292" i="61"/>
  <c r="AA292" i="61"/>
  <c r="Y292" i="61"/>
  <c r="W292" i="61"/>
  <c r="AP291" i="61"/>
  <c r="AL291" i="61"/>
  <c r="AJ291" i="61"/>
  <c r="AH291" i="61"/>
  <c r="AF291" i="61"/>
  <c r="AC291" i="61"/>
  <c r="AA291" i="61"/>
  <c r="Y291" i="61"/>
  <c r="W291" i="61"/>
  <c r="AP290" i="61"/>
  <c r="AL290" i="61"/>
  <c r="AJ290" i="61"/>
  <c r="AH290" i="61"/>
  <c r="AF290" i="61"/>
  <c r="AC290" i="61"/>
  <c r="AA290" i="61"/>
  <c r="Y290" i="61"/>
  <c r="W290" i="61"/>
  <c r="AP289" i="61"/>
  <c r="AL289" i="61"/>
  <c r="AJ289" i="61"/>
  <c r="AH289" i="61"/>
  <c r="AF289" i="61"/>
  <c r="AC289" i="61"/>
  <c r="AA289" i="61"/>
  <c r="Y289" i="61"/>
  <c r="W289" i="61"/>
  <c r="AP288" i="61"/>
  <c r="AL288" i="61"/>
  <c r="AJ288" i="61"/>
  <c r="AH288" i="61"/>
  <c r="AF288" i="61"/>
  <c r="AC288" i="61"/>
  <c r="AA288" i="61"/>
  <c r="Y288" i="61"/>
  <c r="W288" i="61"/>
  <c r="AP287" i="61"/>
  <c r="AL287" i="61"/>
  <c r="AJ287" i="61"/>
  <c r="AH287" i="61"/>
  <c r="AF287" i="61"/>
  <c r="AC287" i="61"/>
  <c r="AA287" i="61"/>
  <c r="Y287" i="61"/>
  <c r="W287" i="61"/>
  <c r="AP286" i="61"/>
  <c r="AL286" i="61"/>
  <c r="AJ286" i="61"/>
  <c r="AH286" i="61"/>
  <c r="AF286" i="61"/>
  <c r="AC286" i="61"/>
  <c r="Y286" i="61"/>
  <c r="W286" i="61"/>
  <c r="AP285" i="61"/>
  <c r="AL285" i="61"/>
  <c r="AJ285" i="61"/>
  <c r="AH285" i="61"/>
  <c r="AF285" i="61"/>
  <c r="AC285" i="61"/>
  <c r="AA285" i="61"/>
  <c r="Y285" i="61"/>
  <c r="W285" i="61"/>
  <c r="AP284" i="61"/>
  <c r="AL284" i="61"/>
  <c r="AJ284" i="61"/>
  <c r="AH284" i="61"/>
  <c r="AC284" i="61"/>
  <c r="AA284" i="61"/>
  <c r="Y284" i="61"/>
  <c r="W284" i="61"/>
  <c r="AP283" i="61"/>
  <c r="AL283" i="61"/>
  <c r="AJ283" i="61"/>
  <c r="AH283" i="61"/>
  <c r="AF283" i="61"/>
  <c r="AC283" i="61"/>
  <c r="AA283" i="61"/>
  <c r="Y283" i="61"/>
  <c r="W283" i="61"/>
  <c r="AP282" i="61"/>
  <c r="AL282" i="61"/>
  <c r="AJ282" i="61"/>
  <c r="AH282" i="61"/>
  <c r="AF282" i="61"/>
  <c r="AC282" i="61"/>
  <c r="AA282" i="61"/>
  <c r="Y282" i="61"/>
  <c r="W282" i="61"/>
  <c r="AP281" i="61"/>
  <c r="AL281" i="61"/>
  <c r="AJ281" i="61"/>
  <c r="AH281" i="61"/>
  <c r="AF281" i="61"/>
  <c r="AC281" i="61"/>
  <c r="AA281" i="61"/>
  <c r="Y281" i="61"/>
  <c r="W281" i="61"/>
  <c r="AP280" i="61"/>
  <c r="AL280" i="61"/>
  <c r="AJ280" i="61"/>
  <c r="AH280" i="61"/>
  <c r="AF280" i="61"/>
  <c r="AC280" i="61"/>
  <c r="AA280" i="61"/>
  <c r="Y280" i="61"/>
  <c r="W280" i="61"/>
  <c r="AP279" i="61"/>
  <c r="AL279" i="61"/>
  <c r="AJ279" i="61"/>
  <c r="AH279" i="61"/>
  <c r="AF279" i="61"/>
  <c r="AC279" i="61"/>
  <c r="AA279" i="61"/>
  <c r="Y279" i="61"/>
  <c r="W279" i="61"/>
  <c r="AP278" i="61"/>
  <c r="AL278" i="61"/>
  <c r="AJ278" i="61"/>
  <c r="AH278" i="61"/>
  <c r="AF278" i="61"/>
  <c r="AC278" i="61"/>
  <c r="AA278" i="61"/>
  <c r="W278" i="61"/>
  <c r="AP277" i="61"/>
  <c r="AL277" i="61"/>
  <c r="AJ277" i="61"/>
  <c r="AH277" i="61"/>
  <c r="AF277" i="61"/>
  <c r="AC277" i="61"/>
  <c r="AA277" i="61"/>
  <c r="Y277" i="61"/>
  <c r="W277" i="61"/>
  <c r="AP276" i="61"/>
  <c r="AL276" i="61"/>
  <c r="AJ276" i="61"/>
  <c r="AH276" i="61"/>
  <c r="AF276" i="61"/>
  <c r="AC276" i="61"/>
  <c r="AA276" i="61"/>
  <c r="Y276" i="61"/>
  <c r="W276" i="61"/>
  <c r="AP275" i="61"/>
  <c r="AL275" i="61"/>
  <c r="AJ275" i="61"/>
  <c r="AH275" i="61"/>
  <c r="AF275" i="61"/>
  <c r="AC275" i="61"/>
  <c r="AA275" i="61"/>
  <c r="Y275" i="61"/>
  <c r="W275" i="61"/>
  <c r="AP274" i="61"/>
  <c r="AL274" i="61"/>
  <c r="AJ274" i="61"/>
  <c r="AH274" i="61"/>
  <c r="AF274" i="61"/>
  <c r="AC274" i="61"/>
  <c r="AA274" i="61"/>
  <c r="Y274" i="61"/>
  <c r="W274" i="61"/>
  <c r="AP273" i="61"/>
  <c r="AL273" i="61"/>
  <c r="AJ273" i="61"/>
  <c r="AH273" i="61"/>
  <c r="AF273" i="61"/>
  <c r="AC273" i="61"/>
  <c r="AA273" i="61"/>
  <c r="Y273" i="61"/>
  <c r="W273" i="61"/>
  <c r="AP272" i="61"/>
  <c r="AL272" i="61"/>
  <c r="AJ272" i="61"/>
  <c r="AH272" i="61"/>
  <c r="AF272" i="61"/>
  <c r="AC272" i="61"/>
  <c r="AA272" i="61"/>
  <c r="Y272" i="61"/>
  <c r="W272" i="61"/>
  <c r="AP271" i="61"/>
  <c r="AL271" i="61"/>
  <c r="AJ271" i="61"/>
  <c r="AH271" i="61"/>
  <c r="AF271" i="61"/>
  <c r="AC271" i="61"/>
  <c r="AA271" i="61"/>
  <c r="Y271" i="61"/>
  <c r="W271" i="61"/>
  <c r="AP270" i="61"/>
  <c r="AL270" i="61"/>
  <c r="AJ270" i="61"/>
  <c r="AH270" i="61"/>
  <c r="AF270" i="61"/>
  <c r="AC270" i="61"/>
  <c r="AA270" i="61"/>
  <c r="Y270" i="61"/>
  <c r="W270" i="61"/>
  <c r="AP269" i="61"/>
  <c r="AO269" i="61"/>
  <c r="AN269" i="61"/>
  <c r="AM269" i="61"/>
  <c r="AL269" i="61"/>
  <c r="AJ269" i="61"/>
  <c r="AH269" i="61"/>
  <c r="AF269" i="61"/>
  <c r="AC269" i="61"/>
  <c r="AA269" i="61"/>
  <c r="Y269" i="61"/>
  <c r="W269" i="61"/>
  <c r="AP268" i="61"/>
  <c r="AO268" i="61"/>
  <c r="AN268" i="61"/>
  <c r="AM268" i="61"/>
  <c r="AL268" i="61"/>
  <c r="AJ268" i="61"/>
  <c r="AH268" i="61"/>
  <c r="AF268" i="61"/>
  <c r="AC268" i="61"/>
  <c r="AA268" i="61"/>
  <c r="Y268" i="61"/>
  <c r="W268" i="61"/>
  <c r="AP267" i="61"/>
  <c r="AL267" i="61"/>
  <c r="AJ267" i="61"/>
  <c r="AH267" i="61"/>
  <c r="AF267" i="61"/>
  <c r="AC267" i="61"/>
  <c r="AA267" i="61"/>
  <c r="Y267" i="61"/>
  <c r="W267" i="61"/>
  <c r="AP266" i="61"/>
  <c r="AL266" i="61"/>
  <c r="AJ266" i="61"/>
  <c r="AH266" i="61"/>
  <c r="AF266" i="61"/>
  <c r="AC266" i="61"/>
  <c r="AA266" i="61"/>
  <c r="Y266" i="61"/>
  <c r="W266" i="61"/>
  <c r="AP265" i="61"/>
  <c r="AL265" i="61"/>
  <c r="AJ265" i="61"/>
  <c r="AH265" i="61"/>
  <c r="AF265" i="61"/>
  <c r="AC265" i="61"/>
  <c r="AA265" i="61"/>
  <c r="Y265" i="61"/>
  <c r="W265" i="61"/>
  <c r="AP264" i="61"/>
  <c r="AL264" i="61"/>
  <c r="AJ264" i="61"/>
  <c r="AH264" i="61"/>
  <c r="AF264" i="61"/>
  <c r="AC264" i="61"/>
  <c r="AA264" i="61"/>
  <c r="Y264" i="61"/>
  <c r="W264" i="61"/>
  <c r="AP263" i="61"/>
  <c r="AL263" i="61"/>
  <c r="AJ263" i="61"/>
  <c r="AH263" i="61"/>
  <c r="AF263" i="61"/>
  <c r="AC263" i="61"/>
  <c r="AA263" i="61"/>
  <c r="Y263" i="61"/>
  <c r="W263" i="61"/>
  <c r="AP262" i="61"/>
  <c r="AL262" i="61"/>
  <c r="AJ262" i="61"/>
  <c r="AH262" i="61"/>
  <c r="AF262" i="61"/>
  <c r="AC262" i="61"/>
  <c r="AA262" i="61"/>
  <c r="Y262" i="61"/>
  <c r="W262" i="61"/>
  <c r="AP261" i="61"/>
  <c r="AL261" i="61"/>
  <c r="AJ261" i="61"/>
  <c r="AH261" i="61"/>
  <c r="AF261" i="61"/>
  <c r="AC261" i="61"/>
  <c r="AA261" i="61"/>
  <c r="Y261" i="61"/>
  <c r="W261" i="61"/>
  <c r="AP260" i="61"/>
  <c r="AL260" i="61"/>
  <c r="AJ260" i="61"/>
  <c r="AH260" i="61"/>
  <c r="AF260" i="61"/>
  <c r="AC260" i="61"/>
  <c r="AA260" i="61"/>
  <c r="Y260" i="61"/>
  <c r="W260" i="61"/>
  <c r="AP259" i="61"/>
  <c r="AL259" i="61"/>
  <c r="AJ259" i="61"/>
  <c r="AH259" i="61"/>
  <c r="AF259" i="61"/>
  <c r="AC259" i="61"/>
  <c r="AA259" i="61"/>
  <c r="Y259" i="61"/>
  <c r="W259" i="61"/>
  <c r="AP258" i="61"/>
  <c r="AL258" i="61"/>
  <c r="AJ258" i="61"/>
  <c r="AH258" i="61"/>
  <c r="AF258" i="61"/>
  <c r="AC258" i="61"/>
  <c r="AA258" i="61"/>
  <c r="Y258" i="61"/>
  <c r="W258" i="61"/>
  <c r="AP257" i="61"/>
  <c r="AL257" i="61"/>
  <c r="AJ257" i="61"/>
  <c r="AH257" i="61"/>
  <c r="AF257" i="61"/>
  <c r="AC257" i="61"/>
  <c r="AA257" i="61"/>
  <c r="Y257" i="61"/>
  <c r="W257" i="61"/>
  <c r="AP256" i="61"/>
  <c r="AL256" i="61"/>
  <c r="AJ256" i="61"/>
  <c r="AH256" i="61"/>
  <c r="AF256" i="61"/>
  <c r="AC256" i="61"/>
  <c r="AA256" i="61"/>
  <c r="Y256" i="61"/>
  <c r="W256" i="61"/>
  <c r="AP255" i="61"/>
  <c r="AL255" i="61"/>
  <c r="AJ255" i="61"/>
  <c r="AH255" i="61"/>
  <c r="AF255" i="61"/>
  <c r="AC255" i="61"/>
  <c r="AA255" i="61"/>
  <c r="Y255" i="61"/>
  <c r="W255" i="61"/>
  <c r="AP254" i="61"/>
  <c r="AL254" i="61"/>
  <c r="AJ254" i="61"/>
  <c r="AH254" i="61"/>
  <c r="AF254" i="61"/>
  <c r="AC254" i="61"/>
  <c r="AA254" i="61"/>
  <c r="Y254" i="61"/>
  <c r="W254" i="61"/>
  <c r="AP253" i="61"/>
  <c r="AL253" i="61"/>
  <c r="AJ253" i="61"/>
  <c r="AH253" i="61"/>
  <c r="AF253" i="61"/>
  <c r="AC253" i="61"/>
  <c r="AA253" i="61"/>
  <c r="Y253" i="61"/>
  <c r="W253" i="61"/>
  <c r="AP252" i="61"/>
  <c r="AL252" i="61"/>
  <c r="AJ252" i="61"/>
  <c r="AH252" i="61"/>
  <c r="AF252" i="61"/>
  <c r="AA252" i="61"/>
  <c r="Y252" i="61"/>
  <c r="AP251" i="61"/>
  <c r="AL251" i="61"/>
  <c r="AJ251" i="61"/>
  <c r="AH251" i="61"/>
  <c r="AF251" i="61"/>
  <c r="AC251" i="61"/>
  <c r="AA251" i="61"/>
  <c r="Y251" i="61"/>
  <c r="W251" i="61"/>
  <c r="AP250" i="61"/>
  <c r="AL250" i="61"/>
  <c r="AJ250" i="61"/>
  <c r="AH250" i="61"/>
  <c r="AF250" i="61"/>
  <c r="AC250" i="61"/>
  <c r="AA250" i="61"/>
  <c r="Y250" i="61"/>
  <c r="W250" i="61"/>
  <c r="AP249" i="61"/>
  <c r="AL249" i="61"/>
  <c r="AJ249" i="61"/>
  <c r="AH249" i="61"/>
  <c r="AF249" i="61"/>
  <c r="AC249" i="61"/>
  <c r="AA249" i="61"/>
  <c r="Y249" i="61"/>
  <c r="W249" i="61"/>
  <c r="AP248" i="61"/>
  <c r="AL248" i="61"/>
  <c r="AJ248" i="61"/>
  <c r="AH248" i="61"/>
  <c r="AF248" i="61"/>
  <c r="AC248" i="61"/>
  <c r="AA248" i="61"/>
  <c r="Y248" i="61"/>
  <c r="W248" i="61"/>
  <c r="AP247" i="61"/>
  <c r="AL247" i="61"/>
  <c r="AJ247" i="61"/>
  <c r="AH247" i="61"/>
  <c r="AF247" i="61"/>
  <c r="AC247" i="61"/>
  <c r="Y247" i="61"/>
  <c r="W247" i="61"/>
  <c r="AP246" i="61"/>
  <c r="AL246" i="61"/>
  <c r="AJ246" i="61"/>
  <c r="AH246" i="61"/>
  <c r="AF246" i="61"/>
  <c r="AC246" i="61"/>
  <c r="AA246" i="61"/>
  <c r="Y246" i="61"/>
  <c r="W246" i="61"/>
  <c r="AP245" i="61"/>
  <c r="AL245" i="61"/>
  <c r="AJ245" i="61"/>
  <c r="AH245" i="61"/>
  <c r="AF245" i="61"/>
  <c r="AC245" i="61"/>
  <c r="AA245" i="61"/>
  <c r="Y245" i="61"/>
  <c r="W245" i="61"/>
  <c r="AP244" i="61"/>
  <c r="AL244" i="61"/>
  <c r="AJ244" i="61"/>
  <c r="AH244" i="61"/>
  <c r="AF244" i="61"/>
  <c r="AC244" i="61"/>
  <c r="AA244" i="61"/>
  <c r="Y244" i="61"/>
  <c r="W244" i="61"/>
  <c r="AP243" i="61"/>
  <c r="AL243" i="61"/>
  <c r="AJ243" i="61"/>
  <c r="AH243" i="61"/>
  <c r="AF243" i="61"/>
  <c r="AC243" i="61"/>
  <c r="AA243" i="61"/>
  <c r="Y243" i="61"/>
  <c r="W243" i="61"/>
  <c r="AP242" i="61"/>
  <c r="AL242" i="61"/>
  <c r="AJ242" i="61"/>
  <c r="AH242" i="61"/>
  <c r="AF242" i="61"/>
  <c r="AC242" i="61"/>
  <c r="AA242" i="61"/>
  <c r="Y242" i="61"/>
  <c r="W242" i="61"/>
  <c r="AP241" i="61"/>
  <c r="AL241" i="61"/>
  <c r="AJ241" i="61"/>
  <c r="AH241" i="61"/>
  <c r="AF241" i="61"/>
  <c r="AC241" i="61"/>
  <c r="AA241" i="61"/>
  <c r="Y241" i="61"/>
  <c r="W241" i="61"/>
  <c r="AP240" i="61"/>
  <c r="AL240" i="61"/>
  <c r="AJ240" i="61"/>
  <c r="AH240" i="61"/>
  <c r="AF240" i="61"/>
  <c r="AC240" i="61"/>
  <c r="AA240" i="61"/>
  <c r="Y240" i="61"/>
  <c r="W240" i="61"/>
  <c r="AP239" i="61"/>
  <c r="AL239" i="61"/>
  <c r="AJ239" i="61"/>
  <c r="AF239" i="61"/>
  <c r="AC239" i="61"/>
  <c r="AA239" i="61"/>
  <c r="Y239" i="61"/>
  <c r="W239" i="61"/>
  <c r="AP238" i="61"/>
  <c r="AL238" i="61"/>
  <c r="AJ238" i="61"/>
  <c r="AH238" i="61"/>
  <c r="AF238" i="61"/>
  <c r="AC238" i="61"/>
  <c r="AA238" i="61"/>
  <c r="Y238" i="61"/>
  <c r="W238" i="61"/>
  <c r="AP237" i="61"/>
  <c r="AL237" i="61"/>
  <c r="AJ237" i="61"/>
  <c r="AH237" i="61"/>
  <c r="AF237" i="61"/>
  <c r="AC237" i="61"/>
  <c r="AA237" i="61"/>
  <c r="Y237" i="61"/>
  <c r="W237" i="61"/>
  <c r="AP236" i="61"/>
  <c r="AL236" i="61"/>
  <c r="AJ236" i="61"/>
  <c r="AH236" i="61"/>
  <c r="AF236" i="61"/>
  <c r="AC236" i="61"/>
  <c r="AA236" i="61"/>
  <c r="W236" i="61"/>
  <c r="AP235" i="61"/>
  <c r="AL235" i="61"/>
  <c r="AJ235" i="61"/>
  <c r="AH235" i="61"/>
  <c r="AF235" i="61"/>
  <c r="AC235" i="61"/>
  <c r="AA235" i="61"/>
  <c r="Y235" i="61"/>
  <c r="W235" i="61"/>
  <c r="AP234" i="61"/>
  <c r="AL234" i="61"/>
  <c r="AJ234" i="61"/>
  <c r="AH234" i="61"/>
  <c r="AF234" i="61"/>
  <c r="AC234" i="61"/>
  <c r="AA234" i="61"/>
  <c r="Y234" i="61"/>
  <c r="W234" i="61"/>
  <c r="AP233" i="61"/>
  <c r="AL233" i="61"/>
  <c r="AJ233" i="61"/>
  <c r="AH233" i="61"/>
  <c r="AF233" i="61"/>
  <c r="AC233" i="61"/>
  <c r="AA233" i="61"/>
  <c r="Y233" i="61"/>
  <c r="W233" i="61"/>
  <c r="AP232" i="61"/>
  <c r="AL232" i="61"/>
  <c r="AJ232" i="61"/>
  <c r="AH232" i="61"/>
  <c r="AF232" i="61"/>
  <c r="AC232" i="61"/>
  <c r="AA232" i="61"/>
  <c r="Y232" i="61"/>
  <c r="W232" i="61"/>
  <c r="AP231" i="61"/>
  <c r="AL231" i="61"/>
  <c r="AJ231" i="61"/>
  <c r="AH231" i="61"/>
  <c r="AF231" i="61"/>
  <c r="AC231" i="61"/>
  <c r="AA231" i="61"/>
  <c r="Y231" i="61"/>
  <c r="W231" i="61"/>
  <c r="AP230" i="61"/>
  <c r="AL230" i="61"/>
  <c r="AJ230" i="61"/>
  <c r="AH230" i="61"/>
  <c r="AF230" i="61"/>
  <c r="AC230" i="61"/>
  <c r="AA230" i="61"/>
  <c r="Y230" i="61"/>
  <c r="W230" i="61"/>
  <c r="AP229" i="61"/>
  <c r="AL229" i="61"/>
  <c r="AJ229" i="61"/>
  <c r="AH229" i="61"/>
  <c r="AF229" i="61"/>
  <c r="AC229" i="61"/>
  <c r="AA229" i="61"/>
  <c r="Y229" i="61"/>
  <c r="W229" i="61"/>
  <c r="AP228" i="61"/>
  <c r="AL228" i="61"/>
  <c r="AJ228" i="61"/>
  <c r="AH228" i="61"/>
  <c r="AF228" i="61"/>
  <c r="AC228" i="61"/>
  <c r="AA228" i="61"/>
  <c r="Y228" i="61"/>
  <c r="W228" i="61"/>
  <c r="AP227" i="61"/>
  <c r="AL227" i="61"/>
  <c r="AJ227" i="61"/>
  <c r="AH227" i="61"/>
  <c r="AF227" i="61"/>
  <c r="AC227" i="61"/>
  <c r="AA227" i="61"/>
  <c r="Y227" i="61"/>
  <c r="W227" i="61"/>
  <c r="AP226" i="61"/>
  <c r="AL226" i="61"/>
  <c r="AJ226" i="61"/>
  <c r="AH226" i="61"/>
  <c r="AF226" i="61"/>
  <c r="AC226" i="61"/>
  <c r="AA226" i="61"/>
  <c r="Y226" i="61"/>
  <c r="W226" i="61"/>
  <c r="AP225" i="61"/>
  <c r="AL225" i="61"/>
  <c r="AJ225" i="61"/>
  <c r="AH225" i="61"/>
  <c r="AF225" i="61"/>
  <c r="AC225" i="61"/>
  <c r="AA225" i="61"/>
  <c r="Y225" i="61"/>
  <c r="W225" i="61"/>
  <c r="AP224" i="61"/>
  <c r="AL224" i="61"/>
  <c r="AJ224" i="61"/>
  <c r="AH224" i="61"/>
  <c r="AF224" i="61"/>
  <c r="AC224" i="61"/>
  <c r="AA224" i="61"/>
  <c r="Y224" i="61"/>
  <c r="W224" i="61"/>
  <c r="AP223" i="61"/>
  <c r="AL223" i="61"/>
  <c r="AJ223" i="61"/>
  <c r="AH223" i="61"/>
  <c r="AF223" i="61"/>
  <c r="AC223" i="61"/>
  <c r="AA223" i="61"/>
  <c r="Y223" i="61"/>
  <c r="W223" i="61"/>
  <c r="AP222" i="61"/>
  <c r="AL222" i="61"/>
  <c r="AJ222" i="61"/>
  <c r="AH222" i="61"/>
  <c r="AF222" i="61"/>
  <c r="AC222" i="61"/>
  <c r="AA222" i="61"/>
  <c r="Y222" i="61"/>
  <c r="W222" i="61"/>
  <c r="AP221" i="61"/>
  <c r="AL221" i="61"/>
  <c r="AJ221" i="61"/>
  <c r="AH221" i="61"/>
  <c r="AF221" i="61"/>
  <c r="AC221" i="61"/>
  <c r="AA221" i="61"/>
  <c r="Y221" i="61"/>
  <c r="W221" i="61"/>
  <c r="AP220" i="61"/>
  <c r="AL220" i="61"/>
  <c r="AJ220" i="61"/>
  <c r="AH220" i="61"/>
  <c r="AF220" i="61"/>
  <c r="AA220" i="61"/>
  <c r="Y220" i="61"/>
  <c r="AP219" i="61"/>
  <c r="AO219" i="61"/>
  <c r="AN219" i="61"/>
  <c r="AM219" i="61"/>
  <c r="AL219" i="61"/>
  <c r="AJ219" i="61"/>
  <c r="AH219" i="61"/>
  <c r="AF219" i="61"/>
  <c r="AC219" i="61"/>
  <c r="AA219" i="61"/>
  <c r="Y219" i="61"/>
  <c r="W219" i="61"/>
  <c r="AP218" i="61"/>
  <c r="AO218" i="61"/>
  <c r="AN218" i="61"/>
  <c r="AM218" i="61"/>
  <c r="AL218" i="61"/>
  <c r="AJ218" i="61"/>
  <c r="AH218" i="61"/>
  <c r="AF218" i="61"/>
  <c r="AC218" i="61"/>
  <c r="AA218" i="61"/>
  <c r="Y218" i="61"/>
  <c r="W218" i="61"/>
  <c r="AP217" i="61"/>
  <c r="AL217" i="61"/>
  <c r="AJ217" i="61"/>
  <c r="AH217" i="61"/>
  <c r="AF217" i="61"/>
  <c r="AC217" i="61"/>
  <c r="AA217" i="61"/>
  <c r="Y217" i="61"/>
  <c r="W217" i="61"/>
  <c r="AP216" i="61"/>
  <c r="AL216" i="61"/>
  <c r="AJ216" i="61"/>
  <c r="AH216" i="61"/>
  <c r="AF216" i="61"/>
  <c r="AC216" i="61"/>
  <c r="AA216" i="61"/>
  <c r="Y216" i="61"/>
  <c r="W216" i="61"/>
  <c r="AP215" i="61"/>
  <c r="AL215" i="61"/>
  <c r="AJ215" i="61"/>
  <c r="AH215" i="61"/>
  <c r="AF215" i="61"/>
  <c r="AC215" i="61"/>
  <c r="AA215" i="61"/>
  <c r="Y215" i="61"/>
  <c r="W215" i="61"/>
  <c r="AP214" i="61"/>
  <c r="AL214" i="61"/>
  <c r="AJ214" i="61"/>
  <c r="AH214" i="61"/>
  <c r="AF214" i="61"/>
  <c r="AC214" i="61"/>
  <c r="AA214" i="61"/>
  <c r="Y214" i="61"/>
  <c r="W214" i="61"/>
  <c r="AP213" i="61"/>
  <c r="AL213" i="61"/>
  <c r="AJ213" i="61"/>
  <c r="AH213" i="61"/>
  <c r="AF213" i="61"/>
  <c r="AC213" i="61"/>
  <c r="AA213" i="61"/>
  <c r="Y213" i="61"/>
  <c r="W213" i="61"/>
  <c r="AP212" i="61"/>
  <c r="AL212" i="61"/>
  <c r="AJ212" i="61"/>
  <c r="AH212" i="61"/>
  <c r="AF212" i="61"/>
  <c r="AC212" i="61"/>
  <c r="AA212" i="61"/>
  <c r="Y212" i="61"/>
  <c r="W212" i="61"/>
  <c r="AP211" i="61"/>
  <c r="AL211" i="61"/>
  <c r="AJ211" i="61"/>
  <c r="AH211" i="61"/>
  <c r="AF211" i="61"/>
  <c r="AC211" i="61"/>
  <c r="AA211" i="61"/>
  <c r="Y211" i="61"/>
  <c r="W211" i="61"/>
  <c r="AP210" i="61"/>
  <c r="AL210" i="61"/>
  <c r="AJ210" i="61"/>
  <c r="AH210" i="61"/>
  <c r="AF210" i="61"/>
  <c r="AC210" i="61"/>
  <c r="AA210" i="61"/>
  <c r="Y210" i="61"/>
  <c r="W210" i="61"/>
  <c r="AP209" i="61"/>
  <c r="AL209" i="61"/>
  <c r="AJ209" i="61"/>
  <c r="AH209" i="61"/>
  <c r="AF209" i="61"/>
  <c r="AC209" i="61"/>
  <c r="AA209" i="61"/>
  <c r="Y209" i="61"/>
  <c r="W209" i="61"/>
  <c r="AP208" i="61"/>
  <c r="AL208" i="61"/>
  <c r="AJ208" i="61"/>
  <c r="AH208" i="61"/>
  <c r="AF208" i="61"/>
  <c r="AC208" i="61"/>
  <c r="AA208" i="61"/>
  <c r="Y208" i="61"/>
  <c r="W208" i="61"/>
  <c r="AP207" i="61"/>
  <c r="AL207" i="61"/>
  <c r="AJ207" i="61"/>
  <c r="AH207" i="61"/>
  <c r="AF207" i="61"/>
  <c r="AC207" i="61"/>
  <c r="AA207" i="61"/>
  <c r="Y207" i="61"/>
  <c r="W207" i="61"/>
  <c r="AP206" i="61"/>
  <c r="AL206" i="61"/>
  <c r="AJ206" i="61"/>
  <c r="AH206" i="61"/>
  <c r="AF206" i="61"/>
  <c r="AC206" i="61"/>
  <c r="AA206" i="61"/>
  <c r="Y206" i="61"/>
  <c r="W206" i="61"/>
  <c r="AP205" i="61"/>
  <c r="AL205" i="61"/>
  <c r="AJ205" i="61"/>
  <c r="AH205" i="61"/>
  <c r="AF205" i="61"/>
  <c r="AC205" i="61"/>
  <c r="AA205" i="61"/>
  <c r="Y205" i="61"/>
  <c r="W205" i="61"/>
  <c r="AP204" i="61"/>
  <c r="AL204" i="61"/>
  <c r="AJ204" i="61"/>
  <c r="AH204" i="61"/>
  <c r="AF204" i="61"/>
  <c r="AC204" i="61"/>
  <c r="AA204" i="61"/>
  <c r="Y204" i="61"/>
  <c r="W204" i="61"/>
  <c r="AP203" i="61"/>
  <c r="AL203" i="61"/>
  <c r="AJ203" i="61"/>
  <c r="AH203" i="61"/>
  <c r="AF203" i="61"/>
  <c r="AC203" i="61"/>
  <c r="AA203" i="61"/>
  <c r="Y203" i="61"/>
  <c r="W203" i="61"/>
  <c r="AP202" i="61"/>
  <c r="AL202" i="61"/>
  <c r="AJ202" i="61"/>
  <c r="AH202" i="61"/>
  <c r="AF202" i="61"/>
  <c r="AA202" i="61"/>
  <c r="Y202" i="61"/>
  <c r="AP201" i="61"/>
  <c r="AL201" i="61"/>
  <c r="AJ201" i="61"/>
  <c r="AH201" i="61"/>
  <c r="AF201" i="61"/>
  <c r="AC201" i="61"/>
  <c r="AA201" i="61"/>
  <c r="Y201" i="61"/>
  <c r="W201" i="61"/>
  <c r="AP200" i="61"/>
  <c r="AL200" i="61"/>
  <c r="AJ200" i="61"/>
  <c r="AH200" i="61"/>
  <c r="AF200" i="61"/>
  <c r="AC200" i="61"/>
  <c r="AA200" i="61"/>
  <c r="Y200" i="61"/>
  <c r="W200" i="61"/>
  <c r="AP199" i="61"/>
  <c r="AL199" i="61"/>
  <c r="AJ199" i="61"/>
  <c r="AH199" i="61"/>
  <c r="AF199" i="61"/>
  <c r="AC199" i="61"/>
  <c r="AA199" i="61"/>
  <c r="Y199" i="61"/>
  <c r="W199" i="61"/>
  <c r="AP198" i="61"/>
  <c r="AL198" i="61"/>
  <c r="AJ198" i="61"/>
  <c r="AH198" i="61"/>
  <c r="AF198" i="61"/>
  <c r="AC198" i="61"/>
  <c r="AA198" i="61"/>
  <c r="Y198" i="61"/>
  <c r="W198" i="61"/>
  <c r="AP197" i="61"/>
  <c r="AL197" i="61"/>
  <c r="AJ197" i="61"/>
  <c r="AH197" i="61"/>
  <c r="AF197" i="61"/>
  <c r="AC197" i="61"/>
  <c r="AA197" i="61"/>
  <c r="Y197" i="61"/>
  <c r="W197" i="61"/>
  <c r="AP196" i="61"/>
  <c r="AL196" i="61"/>
  <c r="AJ196" i="61"/>
  <c r="AH196" i="61"/>
  <c r="AF196" i="61"/>
  <c r="AC196" i="61"/>
  <c r="AA196" i="61"/>
  <c r="Y196" i="61"/>
  <c r="W196" i="61"/>
  <c r="AP195" i="61"/>
  <c r="AL195" i="61"/>
  <c r="AJ195" i="61"/>
  <c r="AH195" i="61"/>
  <c r="AF195" i="61"/>
  <c r="AC195" i="61"/>
  <c r="AA195" i="61"/>
  <c r="Y195" i="61"/>
  <c r="W195" i="61"/>
  <c r="AP194" i="61"/>
  <c r="AL194" i="61"/>
  <c r="AJ194" i="61"/>
  <c r="AH194" i="61"/>
  <c r="AF194" i="61"/>
  <c r="AC194" i="61"/>
  <c r="AA194" i="61"/>
  <c r="Y194" i="61"/>
  <c r="W194" i="61"/>
  <c r="AP193" i="61"/>
  <c r="AL193" i="61"/>
  <c r="AJ193" i="61"/>
  <c r="AH193" i="61"/>
  <c r="AF193" i="61"/>
  <c r="AC193" i="61"/>
  <c r="AA193" i="61"/>
  <c r="Y193" i="61"/>
  <c r="W193" i="61"/>
  <c r="AP192" i="61"/>
  <c r="AL192" i="61"/>
  <c r="AJ192" i="61"/>
  <c r="AH192" i="61"/>
  <c r="AF192" i="61"/>
  <c r="AC192" i="61"/>
  <c r="AA192" i="61"/>
  <c r="Y192" i="61"/>
  <c r="W192" i="61"/>
  <c r="AP191" i="61"/>
  <c r="AL191" i="61"/>
  <c r="AJ191" i="61"/>
  <c r="AH191" i="61"/>
  <c r="AF191" i="61"/>
  <c r="AC191" i="61"/>
  <c r="AA191" i="61"/>
  <c r="Y191" i="61"/>
  <c r="W191" i="61"/>
  <c r="AP190" i="61"/>
  <c r="AL190" i="61"/>
  <c r="AJ190" i="61"/>
  <c r="AH190" i="61"/>
  <c r="AF190" i="61"/>
  <c r="AC190" i="61"/>
  <c r="AA190" i="61"/>
  <c r="Y190" i="61"/>
  <c r="W190" i="61"/>
  <c r="AP189" i="61"/>
  <c r="AL189" i="61"/>
  <c r="AJ189" i="61"/>
  <c r="AH189" i="61"/>
  <c r="AF189" i="61"/>
  <c r="AC189" i="61"/>
  <c r="AA189" i="61"/>
  <c r="Y189" i="61"/>
  <c r="W189" i="61"/>
  <c r="AP188" i="61"/>
  <c r="AL188" i="61"/>
  <c r="AJ188" i="61"/>
  <c r="AH188" i="61"/>
  <c r="AF188" i="61"/>
  <c r="AC188" i="61"/>
  <c r="AA188" i="61"/>
  <c r="Y188" i="61"/>
  <c r="W188" i="61"/>
  <c r="AP187" i="61"/>
  <c r="AL187" i="61"/>
  <c r="AJ187" i="61"/>
  <c r="AH187" i="61"/>
  <c r="AF187" i="61"/>
  <c r="AC187" i="61"/>
  <c r="AA187" i="61"/>
  <c r="Y187" i="61"/>
  <c r="W187" i="61"/>
  <c r="AP186" i="61"/>
  <c r="AL186" i="61"/>
  <c r="AJ186" i="61"/>
  <c r="AH186" i="61"/>
  <c r="AF186" i="61"/>
  <c r="AC186" i="61"/>
  <c r="AA186" i="61"/>
  <c r="Y186" i="61"/>
  <c r="W186" i="61"/>
  <c r="AP185" i="61"/>
  <c r="AL185" i="61"/>
  <c r="AJ185" i="61"/>
  <c r="AH185" i="61"/>
  <c r="AF185" i="61"/>
  <c r="AC185" i="61"/>
  <c r="AA185" i="61"/>
  <c r="Y185" i="61"/>
  <c r="W185" i="61"/>
  <c r="AP184" i="61"/>
  <c r="AL184" i="61"/>
  <c r="AJ184" i="61"/>
  <c r="AH184" i="61"/>
  <c r="AF184" i="61"/>
  <c r="AC184" i="61"/>
  <c r="AA184" i="61"/>
  <c r="Y184" i="61"/>
  <c r="W184" i="61"/>
  <c r="AP183" i="61"/>
  <c r="AL183" i="61"/>
  <c r="AJ183" i="61"/>
  <c r="AH183" i="61"/>
  <c r="AF183" i="61"/>
  <c r="AC183" i="61"/>
  <c r="AA183" i="61"/>
  <c r="Y183" i="61"/>
  <c r="W183" i="61"/>
  <c r="AP182" i="61"/>
  <c r="AL182" i="61"/>
  <c r="AJ182" i="61"/>
  <c r="AH182" i="61"/>
  <c r="AF182" i="61"/>
  <c r="AC182" i="61"/>
  <c r="AA182" i="61"/>
  <c r="Y182" i="61"/>
  <c r="W182" i="61"/>
  <c r="AP181" i="61"/>
  <c r="AL181" i="61"/>
  <c r="AJ181" i="61"/>
  <c r="AH181" i="61"/>
  <c r="AF181" i="61"/>
  <c r="AC181" i="61"/>
  <c r="AA181" i="61"/>
  <c r="Y181" i="61"/>
  <c r="W181" i="61"/>
  <c r="AP180" i="61"/>
  <c r="AL180" i="61"/>
  <c r="AJ180" i="61"/>
  <c r="AH180" i="61"/>
  <c r="AF180" i="61"/>
  <c r="AC180" i="61"/>
  <c r="AA180" i="61"/>
  <c r="Y180" i="61"/>
  <c r="W180" i="61"/>
  <c r="AP179" i="61"/>
  <c r="AL179" i="61"/>
  <c r="AJ179" i="61"/>
  <c r="AH179" i="61"/>
  <c r="AF179" i="61"/>
  <c r="AC179" i="61"/>
  <c r="AA179" i="61"/>
  <c r="Y179" i="61"/>
  <c r="W179" i="61"/>
  <c r="AP178" i="61"/>
  <c r="AL178" i="61"/>
  <c r="AJ178" i="61"/>
  <c r="AH178" i="61"/>
  <c r="AF178" i="61"/>
  <c r="AC178" i="61"/>
  <c r="AA178" i="61"/>
  <c r="Y178" i="61"/>
  <c r="W178" i="61"/>
  <c r="AP177" i="61"/>
  <c r="AL177" i="61"/>
  <c r="AJ177" i="61"/>
  <c r="AH177" i="61"/>
  <c r="AF177" i="61"/>
  <c r="AC177" i="61"/>
  <c r="AA177" i="61"/>
  <c r="Y177" i="61"/>
  <c r="W177" i="61"/>
  <c r="AP176" i="61"/>
  <c r="AL176" i="61"/>
  <c r="AJ176" i="61"/>
  <c r="AH176" i="61"/>
  <c r="AF176" i="61"/>
  <c r="AC176" i="61"/>
  <c r="AA176" i="61"/>
  <c r="Y176" i="61"/>
  <c r="W176" i="61"/>
  <c r="AP175" i="61"/>
  <c r="AL175" i="61"/>
  <c r="AJ175" i="61"/>
  <c r="AH175" i="61"/>
  <c r="AF175" i="61"/>
  <c r="AC175" i="61"/>
  <c r="AA175" i="61"/>
  <c r="Y175" i="61"/>
  <c r="W175" i="61"/>
  <c r="AP174" i="61"/>
  <c r="AL174" i="61"/>
  <c r="AJ174" i="61"/>
  <c r="AH174" i="61"/>
  <c r="AF174" i="61"/>
  <c r="AC174" i="61"/>
  <c r="AA174" i="61"/>
  <c r="Y174" i="61"/>
  <c r="W174" i="61"/>
  <c r="AP173" i="61"/>
  <c r="AL173" i="61"/>
  <c r="AJ173" i="61"/>
  <c r="AH173" i="61"/>
  <c r="AF173" i="61"/>
  <c r="AC173" i="61"/>
  <c r="AA173" i="61"/>
  <c r="Y173" i="61"/>
  <c r="W173" i="61"/>
  <c r="AP172" i="61"/>
  <c r="AD172" i="61"/>
  <c r="AH172" i="61" s="1"/>
  <c r="AC172" i="61"/>
  <c r="AA172" i="61"/>
  <c r="Y172" i="61"/>
  <c r="W172" i="61"/>
  <c r="AP171" i="61"/>
  <c r="AL171" i="61"/>
  <c r="AJ171" i="61"/>
  <c r="AH171" i="61"/>
  <c r="AF171" i="61"/>
  <c r="AC171" i="61"/>
  <c r="AA171" i="61"/>
  <c r="Y171" i="61"/>
  <c r="W171" i="61"/>
  <c r="AP170" i="61"/>
  <c r="AL170" i="61"/>
  <c r="AJ170" i="61"/>
  <c r="AH170" i="61"/>
  <c r="AF170" i="61"/>
  <c r="AA170" i="61"/>
  <c r="Y170" i="61"/>
  <c r="AP169" i="61"/>
  <c r="AO169" i="61"/>
  <c r="AN169" i="61"/>
  <c r="AM169" i="61"/>
  <c r="AL169" i="61"/>
  <c r="AJ169" i="61"/>
  <c r="AH169" i="61"/>
  <c r="AF169" i="61"/>
  <c r="AC169" i="61"/>
  <c r="AA169" i="61"/>
  <c r="Y169" i="61"/>
  <c r="W169" i="61"/>
  <c r="AP168" i="61"/>
  <c r="AO168" i="61"/>
  <c r="AN168" i="61"/>
  <c r="AM168" i="61"/>
  <c r="AL168" i="61"/>
  <c r="AJ168" i="61"/>
  <c r="AH168" i="61"/>
  <c r="AF168" i="61"/>
  <c r="AC168" i="61"/>
  <c r="AA168" i="61"/>
  <c r="Y168" i="61"/>
  <c r="W168" i="61"/>
  <c r="AP167" i="61"/>
  <c r="AL167" i="61"/>
  <c r="AJ167" i="61"/>
  <c r="AH167" i="61"/>
  <c r="AF167" i="61"/>
  <c r="AC167" i="61"/>
  <c r="AA167" i="61"/>
  <c r="Y167" i="61"/>
  <c r="W167" i="61"/>
  <c r="AP166" i="61"/>
  <c r="AL166" i="61"/>
  <c r="AJ166" i="61"/>
  <c r="AH166" i="61"/>
  <c r="AF166" i="61"/>
  <c r="AC166" i="61"/>
  <c r="AA166" i="61"/>
  <c r="Y166" i="61"/>
  <c r="W166" i="61"/>
  <c r="AP165" i="61"/>
  <c r="AL165" i="61"/>
  <c r="AJ165" i="61"/>
  <c r="AH165" i="61"/>
  <c r="AF165" i="61"/>
  <c r="AC165" i="61"/>
  <c r="AA165" i="61"/>
  <c r="Y165" i="61"/>
  <c r="W165" i="61"/>
  <c r="AP164" i="61"/>
  <c r="AL164" i="61"/>
  <c r="AJ164" i="61"/>
  <c r="AH164" i="61"/>
  <c r="AF164" i="61"/>
  <c r="AC164" i="61"/>
  <c r="AA164" i="61"/>
  <c r="Y164" i="61"/>
  <c r="W164" i="61"/>
  <c r="AP163" i="61"/>
  <c r="AL163" i="61"/>
  <c r="AJ163" i="61"/>
  <c r="AH163" i="61"/>
  <c r="AF163" i="61"/>
  <c r="AC163" i="61"/>
  <c r="AA163" i="61"/>
  <c r="Y163" i="61"/>
  <c r="W163" i="61"/>
  <c r="AP162" i="61"/>
  <c r="AL162" i="61"/>
  <c r="AJ162" i="61"/>
  <c r="AH162" i="61"/>
  <c r="AF162" i="61"/>
  <c r="AC162" i="61"/>
  <c r="AA162" i="61"/>
  <c r="Y162" i="61"/>
  <c r="W162" i="61"/>
  <c r="AP161" i="61"/>
  <c r="AL161" i="61"/>
  <c r="AJ161" i="61"/>
  <c r="AH161" i="61"/>
  <c r="AF161" i="61"/>
  <c r="AC161" i="61"/>
  <c r="AA161" i="61"/>
  <c r="Y161" i="61"/>
  <c r="W161" i="61"/>
  <c r="AP160" i="61"/>
  <c r="AL160" i="61"/>
  <c r="AJ160" i="61"/>
  <c r="AH160" i="61"/>
  <c r="AF160" i="61"/>
  <c r="AC160" i="61"/>
  <c r="AA160" i="61"/>
  <c r="Y160" i="61"/>
  <c r="W160" i="61"/>
  <c r="AP159" i="61"/>
  <c r="AL159" i="61"/>
  <c r="AJ159" i="61"/>
  <c r="AH159" i="61"/>
  <c r="AF159" i="61"/>
  <c r="AC159" i="61"/>
  <c r="AA159" i="61"/>
  <c r="Y159" i="61"/>
  <c r="W159" i="61"/>
  <c r="AP158" i="61"/>
  <c r="AL158" i="61"/>
  <c r="AJ158" i="61"/>
  <c r="AH158" i="61"/>
  <c r="AF158" i="61"/>
  <c r="AC158" i="61"/>
  <c r="AA158" i="61"/>
  <c r="Y158" i="61"/>
  <c r="W158" i="61"/>
  <c r="AP157" i="61"/>
  <c r="AL157" i="61"/>
  <c r="AJ157" i="61"/>
  <c r="AH157" i="61"/>
  <c r="AF157" i="61"/>
  <c r="AC157" i="61"/>
  <c r="AA157" i="61"/>
  <c r="Y157" i="61"/>
  <c r="W157" i="61"/>
  <c r="AP156" i="61"/>
  <c r="AL156" i="61"/>
  <c r="AJ156" i="61"/>
  <c r="AH156" i="61"/>
  <c r="AF156" i="61"/>
  <c r="AC156" i="61"/>
  <c r="AA156" i="61"/>
  <c r="Y156" i="61"/>
  <c r="W156" i="61"/>
  <c r="AP155" i="61"/>
  <c r="AL155" i="61"/>
  <c r="AJ155" i="61"/>
  <c r="AH155" i="61"/>
  <c r="AF155" i="61"/>
  <c r="AC155" i="61"/>
  <c r="AA155" i="61"/>
  <c r="Y155" i="61"/>
  <c r="W155" i="61"/>
  <c r="AP154" i="61"/>
  <c r="AL154" i="61"/>
  <c r="AJ154" i="61"/>
  <c r="AH154" i="61"/>
  <c r="AF154" i="61"/>
  <c r="AC154" i="61"/>
  <c r="AA154" i="61"/>
  <c r="Y154" i="61"/>
  <c r="W154" i="61"/>
  <c r="AP153" i="61"/>
  <c r="AL153" i="61"/>
  <c r="AJ153" i="61"/>
  <c r="AH153" i="61"/>
  <c r="AF153" i="61"/>
  <c r="AC153" i="61"/>
  <c r="AA153" i="61"/>
  <c r="Y153" i="61"/>
  <c r="W153" i="61"/>
  <c r="AP152" i="61"/>
  <c r="AL152" i="61"/>
  <c r="AJ152" i="61"/>
  <c r="AH152" i="61"/>
  <c r="AF152" i="61"/>
  <c r="AA152" i="61"/>
  <c r="Y152" i="61"/>
  <c r="AP151" i="61"/>
  <c r="AL151" i="61"/>
  <c r="AJ151" i="61"/>
  <c r="AH151" i="61"/>
  <c r="AF151" i="61"/>
  <c r="AC151" i="61"/>
  <c r="AA151" i="61"/>
  <c r="Y151" i="61"/>
  <c r="W151" i="61"/>
  <c r="AP150" i="61"/>
  <c r="AL150" i="61"/>
  <c r="AJ150" i="61"/>
  <c r="AH150" i="61"/>
  <c r="AF150" i="61"/>
  <c r="AC150" i="61"/>
  <c r="AA150" i="61"/>
  <c r="Y150" i="61"/>
  <c r="W150" i="61"/>
  <c r="AP149" i="61"/>
  <c r="AL149" i="61"/>
  <c r="AJ149" i="61"/>
  <c r="AH149" i="61"/>
  <c r="AF149" i="61"/>
  <c r="AC149" i="61"/>
  <c r="AA149" i="61"/>
  <c r="Y149" i="61"/>
  <c r="W149" i="61"/>
  <c r="AP148" i="61"/>
  <c r="AL148" i="61"/>
  <c r="AJ148" i="61"/>
  <c r="AH148" i="61"/>
  <c r="AF148" i="61"/>
  <c r="AC148" i="61"/>
  <c r="AA148" i="61"/>
  <c r="Y148" i="61"/>
  <c r="W148" i="61"/>
  <c r="AP147" i="61"/>
  <c r="AL147" i="61"/>
  <c r="AJ147" i="61"/>
  <c r="AH147" i="61"/>
  <c r="AF147" i="61"/>
  <c r="AC147" i="61"/>
  <c r="AA147" i="61"/>
  <c r="Y147" i="61"/>
  <c r="W147" i="61"/>
  <c r="AP146" i="61"/>
  <c r="AL146" i="61"/>
  <c r="AJ146" i="61"/>
  <c r="AH146" i="61"/>
  <c r="AF146" i="61"/>
  <c r="AC146" i="61"/>
  <c r="AA146" i="61"/>
  <c r="Y146" i="61"/>
  <c r="W146" i="61"/>
  <c r="AP145" i="61"/>
  <c r="AL145" i="61"/>
  <c r="AJ145" i="61"/>
  <c r="AH145" i="61"/>
  <c r="AF145" i="61"/>
  <c r="AC145" i="61"/>
  <c r="AA145" i="61"/>
  <c r="Y145" i="61"/>
  <c r="W145" i="61"/>
  <c r="AP144" i="61"/>
  <c r="AL144" i="61"/>
  <c r="AJ144" i="61"/>
  <c r="AH144" i="61"/>
  <c r="AF144" i="61"/>
  <c r="AC144" i="61"/>
  <c r="AA144" i="61"/>
  <c r="Y144" i="61"/>
  <c r="W144" i="61"/>
  <c r="AP143" i="61"/>
  <c r="AL143" i="61"/>
  <c r="AJ143" i="61"/>
  <c r="AH143" i="61"/>
  <c r="AF143" i="61"/>
  <c r="AC143" i="61"/>
  <c r="AA143" i="61"/>
  <c r="Y143" i="61"/>
  <c r="W143" i="61"/>
  <c r="AP142" i="61"/>
  <c r="AL142" i="61"/>
  <c r="AJ142" i="61"/>
  <c r="AH142" i="61"/>
  <c r="AF142" i="61"/>
  <c r="AC142" i="61"/>
  <c r="AA142" i="61"/>
  <c r="Y142" i="61"/>
  <c r="W142" i="61"/>
  <c r="AP141" i="61"/>
  <c r="AL141" i="61"/>
  <c r="AJ141" i="61"/>
  <c r="AH141" i="61"/>
  <c r="AF141" i="61"/>
  <c r="AC141" i="61"/>
  <c r="AA141" i="61"/>
  <c r="Y141" i="61"/>
  <c r="W141" i="61"/>
  <c r="AP140" i="61"/>
  <c r="AL140" i="61"/>
  <c r="AJ140" i="61"/>
  <c r="AH140" i="61"/>
  <c r="AF140" i="61"/>
  <c r="AC140" i="61"/>
  <c r="AA140" i="61"/>
  <c r="Y140" i="61"/>
  <c r="W140" i="61"/>
  <c r="AP139" i="61"/>
  <c r="AL139" i="61"/>
  <c r="AJ139" i="61"/>
  <c r="AH139" i="61"/>
  <c r="AF139" i="61"/>
  <c r="AC139" i="61"/>
  <c r="AA139" i="61"/>
  <c r="Y139" i="61"/>
  <c r="W139" i="61"/>
  <c r="AP138" i="61"/>
  <c r="AL138" i="61"/>
  <c r="AJ138" i="61"/>
  <c r="AH138" i="61"/>
  <c r="AF138" i="61"/>
  <c r="AC138" i="61"/>
  <c r="AA138" i="61"/>
  <c r="Y138" i="61"/>
  <c r="W138" i="61"/>
  <c r="AP137" i="61"/>
  <c r="AL137" i="61"/>
  <c r="AJ137" i="61"/>
  <c r="AH137" i="61"/>
  <c r="AF137" i="61"/>
  <c r="AC137" i="61"/>
  <c r="AA137" i="61"/>
  <c r="Y137" i="61"/>
  <c r="W137" i="61"/>
  <c r="AP136" i="61"/>
  <c r="AL136" i="61"/>
  <c r="AJ136" i="61"/>
  <c r="AH136" i="61"/>
  <c r="AF136" i="61"/>
  <c r="AC136" i="61"/>
  <c r="AA136" i="61"/>
  <c r="Y136" i="61"/>
  <c r="W136" i="61"/>
  <c r="AP135" i="61"/>
  <c r="AL135" i="61"/>
  <c r="AJ135" i="61"/>
  <c r="AH135" i="61"/>
  <c r="AF135" i="61"/>
  <c r="AC135" i="61"/>
  <c r="Y135" i="61"/>
  <c r="W135" i="61"/>
  <c r="AP134" i="61"/>
  <c r="AL134" i="61"/>
  <c r="AJ134" i="61"/>
  <c r="AH134" i="61"/>
  <c r="AF134" i="61"/>
  <c r="AC134" i="61"/>
  <c r="AA134" i="61"/>
  <c r="Y134" i="61"/>
  <c r="W134" i="61"/>
  <c r="AP133" i="61"/>
  <c r="AL133" i="61"/>
  <c r="AJ133" i="61"/>
  <c r="AH133" i="61"/>
  <c r="AF133" i="61"/>
  <c r="AC133" i="61"/>
  <c r="AA133" i="61"/>
  <c r="Y133" i="61"/>
  <c r="W133" i="61"/>
  <c r="AP132" i="61"/>
  <c r="AL132" i="61"/>
  <c r="AJ132" i="61"/>
  <c r="AH132" i="61"/>
  <c r="AF132" i="61"/>
  <c r="AC132" i="61"/>
  <c r="AA132" i="61"/>
  <c r="Y132" i="61"/>
  <c r="W132" i="61"/>
  <c r="AP131" i="61"/>
  <c r="AL131" i="61"/>
  <c r="AJ131" i="61"/>
  <c r="AH131" i="61"/>
  <c r="AF131" i="61"/>
  <c r="AC131" i="61"/>
  <c r="AA131" i="61"/>
  <c r="Y131" i="61"/>
  <c r="W131" i="61"/>
  <c r="AP130" i="61"/>
  <c r="AL130" i="61"/>
  <c r="AJ130" i="61"/>
  <c r="AH130" i="61"/>
  <c r="AF130" i="61"/>
  <c r="AC130" i="61"/>
  <c r="AA130" i="61"/>
  <c r="Y130" i="61"/>
  <c r="W130" i="61"/>
  <c r="AP129" i="61"/>
  <c r="AL129" i="61"/>
  <c r="AJ129" i="61"/>
  <c r="AH129" i="61"/>
  <c r="AF129" i="61"/>
  <c r="AC129" i="61"/>
  <c r="AA129" i="61"/>
  <c r="Y129" i="61"/>
  <c r="W129" i="61"/>
  <c r="AP128" i="61"/>
  <c r="AL128" i="61"/>
  <c r="AJ128" i="61"/>
  <c r="AH128" i="61"/>
  <c r="AF128" i="61"/>
  <c r="AC128" i="61"/>
  <c r="AA128" i="61"/>
  <c r="Y128" i="61"/>
  <c r="W128" i="61"/>
  <c r="AP127" i="61"/>
  <c r="AL127" i="61"/>
  <c r="AJ127" i="61"/>
  <c r="AH127" i="61"/>
  <c r="AF127" i="61"/>
  <c r="AC127" i="61"/>
  <c r="AA127" i="61"/>
  <c r="Y127" i="61"/>
  <c r="W127" i="61"/>
  <c r="AP126" i="61"/>
  <c r="AL126" i="61"/>
  <c r="AJ126" i="61"/>
  <c r="AH126" i="61"/>
  <c r="AF126" i="61"/>
  <c r="AC126" i="61"/>
  <c r="Y126" i="61"/>
  <c r="W126" i="61"/>
  <c r="AP125" i="61"/>
  <c r="AL125" i="61"/>
  <c r="AJ125" i="61"/>
  <c r="AH125" i="61"/>
  <c r="AF125" i="61"/>
  <c r="AC125" i="61"/>
  <c r="AA125" i="61"/>
  <c r="Y125" i="61"/>
  <c r="W125" i="61"/>
  <c r="AP124" i="61"/>
  <c r="AL124" i="61"/>
  <c r="AJ124" i="61"/>
  <c r="AH124" i="61"/>
  <c r="AF124" i="61"/>
  <c r="AC124" i="61"/>
  <c r="AA124" i="61"/>
  <c r="Y124" i="61"/>
  <c r="W124" i="61"/>
  <c r="AP123" i="61"/>
  <c r="AL123" i="61"/>
  <c r="AJ123" i="61"/>
  <c r="AH123" i="61"/>
  <c r="AF123" i="61"/>
  <c r="AC123" i="61"/>
  <c r="AA123" i="61"/>
  <c r="Y123" i="61"/>
  <c r="W123" i="61"/>
  <c r="AP122" i="61"/>
  <c r="AL122" i="61"/>
  <c r="AJ122" i="61"/>
  <c r="AH122" i="61"/>
  <c r="AF122" i="61"/>
  <c r="AC122" i="61"/>
  <c r="AA122" i="61"/>
  <c r="Y122" i="61"/>
  <c r="W122" i="61"/>
  <c r="AP121" i="61"/>
  <c r="AL121" i="61"/>
  <c r="AJ121" i="61"/>
  <c r="AH121" i="61"/>
  <c r="AF121" i="61"/>
  <c r="AC121" i="61"/>
  <c r="AA121" i="61"/>
  <c r="Y121" i="61"/>
  <c r="W121" i="61"/>
  <c r="AP120" i="61"/>
  <c r="AL120" i="61"/>
  <c r="AJ120" i="61"/>
  <c r="AH120" i="61"/>
  <c r="AF120" i="61"/>
  <c r="AA120" i="61"/>
  <c r="Y120" i="61"/>
  <c r="AP119" i="61"/>
  <c r="AO119" i="61"/>
  <c r="AN119" i="61"/>
  <c r="AM119" i="61"/>
  <c r="AL119" i="61"/>
  <c r="AJ119" i="61"/>
  <c r="AH119" i="61"/>
  <c r="AF119" i="61"/>
  <c r="AC119" i="61"/>
  <c r="AA119" i="61"/>
  <c r="Y119" i="61"/>
  <c r="W119" i="61"/>
  <c r="AP118" i="61"/>
  <c r="AO118" i="61"/>
  <c r="AN118" i="61"/>
  <c r="AM118" i="61"/>
  <c r="AL118" i="61"/>
  <c r="AJ118" i="61"/>
  <c r="AH118" i="61"/>
  <c r="AF118" i="61"/>
  <c r="AC118" i="61"/>
  <c r="AA118" i="61"/>
  <c r="Y118" i="61"/>
  <c r="W118" i="61"/>
  <c r="AP117" i="61"/>
  <c r="AL117" i="61"/>
  <c r="AJ117" i="61"/>
  <c r="AH117" i="61"/>
  <c r="AF117" i="61"/>
  <c r="AC117" i="61"/>
  <c r="AA117" i="61"/>
  <c r="Y117" i="61"/>
  <c r="W117" i="61"/>
  <c r="AP116" i="61"/>
  <c r="AL116" i="61"/>
  <c r="AJ116" i="61"/>
  <c r="AH116" i="61"/>
  <c r="AF116" i="61"/>
  <c r="AC116" i="61"/>
  <c r="AA116" i="61"/>
  <c r="Y116" i="61"/>
  <c r="W116" i="61"/>
  <c r="AP115" i="61"/>
  <c r="AL115" i="61"/>
  <c r="AJ115" i="61"/>
  <c r="AH115" i="61"/>
  <c r="AF115" i="61"/>
  <c r="AC115" i="61"/>
  <c r="AA115" i="61"/>
  <c r="Y115" i="61"/>
  <c r="W115" i="61"/>
  <c r="AP114" i="61"/>
  <c r="AL114" i="61"/>
  <c r="AJ114" i="61"/>
  <c r="AH114" i="61"/>
  <c r="AF114" i="61"/>
  <c r="AC114" i="61"/>
  <c r="AA114" i="61"/>
  <c r="Y114" i="61"/>
  <c r="W114" i="61"/>
  <c r="AP113" i="61"/>
  <c r="AL113" i="61"/>
  <c r="AJ113" i="61"/>
  <c r="AH113" i="61"/>
  <c r="AF113" i="61"/>
  <c r="AC113" i="61"/>
  <c r="AA113" i="61"/>
  <c r="Y113" i="61"/>
  <c r="W113" i="61"/>
  <c r="AP112" i="61"/>
  <c r="AL112" i="61"/>
  <c r="AJ112" i="61"/>
  <c r="AH112" i="61"/>
  <c r="AF112" i="61"/>
  <c r="AC112" i="61"/>
  <c r="AA112" i="61"/>
  <c r="Y112" i="61"/>
  <c r="W112" i="61"/>
  <c r="AP111" i="61"/>
  <c r="AL111" i="61"/>
  <c r="AJ111" i="61"/>
  <c r="AH111" i="61"/>
  <c r="AF111" i="61"/>
  <c r="AC111" i="61"/>
  <c r="AA111" i="61"/>
  <c r="Y111" i="61"/>
  <c r="W111" i="61"/>
  <c r="AP110" i="61"/>
  <c r="AL110" i="61"/>
  <c r="AJ110" i="61"/>
  <c r="AH110" i="61"/>
  <c r="AF110" i="61"/>
  <c r="AC110" i="61"/>
  <c r="AA110" i="61"/>
  <c r="Y110" i="61"/>
  <c r="W110" i="61"/>
  <c r="AP109" i="61"/>
  <c r="AL109" i="61"/>
  <c r="AJ109" i="61"/>
  <c r="AH109" i="61"/>
  <c r="AF109" i="61"/>
  <c r="AC109" i="61"/>
  <c r="AA109" i="61"/>
  <c r="Y109" i="61"/>
  <c r="W109" i="61"/>
  <c r="AP108" i="61"/>
  <c r="AL108" i="61"/>
  <c r="AJ108" i="61"/>
  <c r="AH108" i="61"/>
  <c r="AF108" i="61"/>
  <c r="AC108" i="61"/>
  <c r="AA108" i="61"/>
  <c r="Y108" i="61"/>
  <c r="W108" i="61"/>
  <c r="AP107" i="61"/>
  <c r="AL107" i="61"/>
  <c r="AJ107" i="61"/>
  <c r="AH107" i="61"/>
  <c r="AF107" i="61"/>
  <c r="AC107" i="61"/>
  <c r="AA107" i="61"/>
  <c r="Y107" i="61"/>
  <c r="W107" i="61"/>
  <c r="AP106" i="61"/>
  <c r="AL106" i="61"/>
  <c r="AJ106" i="61"/>
  <c r="AH106" i="61"/>
  <c r="AF106" i="61"/>
  <c r="AC106" i="61"/>
  <c r="AA106" i="61"/>
  <c r="Y106" i="61"/>
  <c r="W106" i="61"/>
  <c r="AP105" i="61"/>
  <c r="AL105" i="61"/>
  <c r="AJ105" i="61"/>
  <c r="AH105" i="61"/>
  <c r="AF105" i="61"/>
  <c r="AC105" i="61"/>
  <c r="AA105" i="61"/>
  <c r="Y105" i="61"/>
  <c r="W105" i="61"/>
  <c r="AP104" i="61"/>
  <c r="AL104" i="61"/>
  <c r="AJ104" i="61"/>
  <c r="AH104" i="61"/>
  <c r="AF104" i="61"/>
  <c r="AC104" i="61"/>
  <c r="Y104" i="61"/>
  <c r="W104" i="61"/>
  <c r="AP103" i="61"/>
  <c r="AL103" i="61"/>
  <c r="AJ103" i="61"/>
  <c r="AH103" i="61"/>
  <c r="AF103" i="61"/>
  <c r="AC103" i="61"/>
  <c r="AA103" i="61"/>
  <c r="Y103" i="61"/>
  <c r="W103" i="61"/>
  <c r="AP102" i="61"/>
  <c r="AL102" i="61"/>
  <c r="AJ102" i="61"/>
  <c r="AH102" i="61"/>
  <c r="AF102" i="61"/>
  <c r="AA102" i="61"/>
  <c r="Y102" i="61"/>
  <c r="AP101" i="61"/>
  <c r="AL101" i="61"/>
  <c r="AJ101" i="61"/>
  <c r="AH101" i="61"/>
  <c r="AF101" i="61"/>
  <c r="AC101" i="61"/>
  <c r="AA101" i="61"/>
  <c r="Y101" i="61"/>
  <c r="W101" i="61"/>
  <c r="AP100" i="61"/>
  <c r="AL100" i="61"/>
  <c r="AJ100" i="61"/>
  <c r="AH100" i="61"/>
  <c r="AF100" i="61"/>
  <c r="AC100" i="61"/>
  <c r="AA100" i="61"/>
  <c r="Y100" i="61"/>
  <c r="W100" i="61"/>
  <c r="AP99" i="61"/>
  <c r="AL99" i="61"/>
  <c r="AJ99" i="61"/>
  <c r="AH99" i="61"/>
  <c r="AF99" i="61"/>
  <c r="AC99" i="61"/>
  <c r="AA99" i="61"/>
  <c r="Y99" i="61"/>
  <c r="W99" i="61"/>
  <c r="AP98" i="61"/>
  <c r="AL98" i="61"/>
  <c r="AJ98" i="61"/>
  <c r="AH98" i="61"/>
  <c r="AF98" i="61"/>
  <c r="AC98" i="61"/>
  <c r="AA98" i="61"/>
  <c r="Y98" i="61"/>
  <c r="W98" i="61"/>
  <c r="AP97" i="61"/>
  <c r="AL97" i="61"/>
  <c r="AJ97" i="61"/>
  <c r="AH97" i="61"/>
  <c r="AF97" i="61"/>
  <c r="AC97" i="61"/>
  <c r="AA97" i="61"/>
  <c r="Y97" i="61"/>
  <c r="W97" i="61"/>
  <c r="AP96" i="61"/>
  <c r="AL96" i="61"/>
  <c r="AJ96" i="61"/>
  <c r="AH96" i="61"/>
  <c r="AF96" i="61"/>
  <c r="AC96" i="61"/>
  <c r="AA96" i="61"/>
  <c r="Y96" i="61"/>
  <c r="W96" i="61"/>
  <c r="AP95" i="61"/>
  <c r="AL95" i="61"/>
  <c r="AJ95" i="61"/>
  <c r="AH95" i="61"/>
  <c r="AF95" i="61"/>
  <c r="AC95" i="61"/>
  <c r="AA95" i="61"/>
  <c r="Y95" i="61"/>
  <c r="W95" i="61"/>
  <c r="AP94" i="61"/>
  <c r="AL94" i="61"/>
  <c r="AJ94" i="61"/>
  <c r="AH94" i="61"/>
  <c r="AF94" i="61"/>
  <c r="AC94" i="61"/>
  <c r="AA94" i="61"/>
  <c r="Y94" i="61"/>
  <c r="W94" i="61"/>
  <c r="AP93" i="61"/>
  <c r="AL93" i="61"/>
  <c r="AJ93" i="61"/>
  <c r="AH93" i="61"/>
  <c r="AF93" i="61"/>
  <c r="AC93" i="61"/>
  <c r="AA93" i="61"/>
  <c r="Y93" i="61"/>
  <c r="W93" i="61"/>
  <c r="AP92" i="61"/>
  <c r="AL92" i="61"/>
  <c r="AJ92" i="61"/>
  <c r="AH92" i="61"/>
  <c r="AF92" i="61"/>
  <c r="AC92" i="61"/>
  <c r="AA92" i="61"/>
  <c r="Y92" i="61"/>
  <c r="W92" i="61"/>
  <c r="AP91" i="61"/>
  <c r="AL91" i="61"/>
  <c r="AJ91" i="61"/>
  <c r="AH91" i="61"/>
  <c r="AF91" i="61"/>
  <c r="AC91" i="61"/>
  <c r="AA91" i="61"/>
  <c r="Y91" i="61"/>
  <c r="W91" i="61"/>
  <c r="AP90" i="61"/>
  <c r="AL90" i="61"/>
  <c r="AJ90" i="61"/>
  <c r="AH90" i="61"/>
  <c r="AF90" i="61"/>
  <c r="AC90" i="61"/>
  <c r="AA90" i="61"/>
  <c r="Y90" i="61"/>
  <c r="W90" i="61"/>
  <c r="AP89" i="61"/>
  <c r="AL89" i="61"/>
  <c r="AJ89" i="61"/>
  <c r="AH89" i="61"/>
  <c r="AF89" i="61"/>
  <c r="AC89" i="61"/>
  <c r="AA89" i="61"/>
  <c r="Y89" i="61"/>
  <c r="W89" i="61"/>
  <c r="AP88" i="61"/>
  <c r="AL88" i="61"/>
  <c r="AJ88" i="61"/>
  <c r="AH88" i="61"/>
  <c r="AF88" i="61"/>
  <c r="AC88" i="61"/>
  <c r="AA88" i="61"/>
  <c r="Y88" i="61"/>
  <c r="W88" i="61"/>
  <c r="AP87" i="61"/>
  <c r="AL87" i="61"/>
  <c r="AJ87" i="61"/>
  <c r="AH87" i="61"/>
  <c r="AF87" i="61"/>
  <c r="AC87" i="61"/>
  <c r="AA87" i="61"/>
  <c r="Y87" i="61"/>
  <c r="W87" i="61"/>
  <c r="AP86" i="61"/>
  <c r="AL86" i="61"/>
  <c r="AJ86" i="61"/>
  <c r="AH86" i="61"/>
  <c r="AF86" i="61"/>
  <c r="AC86" i="61"/>
  <c r="AA86" i="61"/>
  <c r="Y86" i="61"/>
  <c r="W86" i="61"/>
  <c r="AP85" i="61"/>
  <c r="AL85" i="61"/>
  <c r="AJ85" i="61"/>
  <c r="AH85" i="61"/>
  <c r="AF85" i="61"/>
  <c r="AC85" i="61"/>
  <c r="Y85" i="61"/>
  <c r="W85" i="61"/>
  <c r="AP84" i="61"/>
  <c r="AL84" i="61"/>
  <c r="AJ84" i="61"/>
  <c r="AH84" i="61"/>
  <c r="AF84" i="61"/>
  <c r="AC84" i="61"/>
  <c r="AA84" i="61"/>
  <c r="Y84" i="61"/>
  <c r="W84" i="61"/>
  <c r="AP83" i="61"/>
  <c r="AL83" i="61"/>
  <c r="AJ83" i="61"/>
  <c r="AH83" i="61"/>
  <c r="AF83" i="61"/>
  <c r="AC83" i="61"/>
  <c r="AA83" i="61"/>
  <c r="Y83" i="61"/>
  <c r="W83" i="61"/>
  <c r="AP82" i="61"/>
  <c r="AL82" i="61"/>
  <c r="AJ82" i="61"/>
  <c r="AH82" i="61"/>
  <c r="AF82" i="61"/>
  <c r="AC82" i="61"/>
  <c r="AA82" i="61"/>
  <c r="Y82" i="61"/>
  <c r="W82" i="61"/>
  <c r="AP81" i="61"/>
  <c r="AL81" i="61"/>
  <c r="AJ81" i="61"/>
  <c r="AH81" i="61"/>
  <c r="AF81" i="61"/>
  <c r="AC81" i="61"/>
  <c r="AA81" i="61"/>
  <c r="Y81" i="61"/>
  <c r="W81" i="61"/>
  <c r="AP80" i="61"/>
  <c r="AL80" i="61"/>
  <c r="AJ80" i="61"/>
  <c r="AH80" i="61"/>
  <c r="AF80" i="61"/>
  <c r="AC80" i="61"/>
  <c r="AA80" i="61"/>
  <c r="Y80" i="61"/>
  <c r="W80" i="61"/>
  <c r="AP79" i="61"/>
  <c r="AL79" i="61"/>
  <c r="AJ79" i="61"/>
  <c r="AH79" i="61"/>
  <c r="AF79" i="61"/>
  <c r="AC79" i="61"/>
  <c r="AA79" i="61"/>
  <c r="Y79" i="61"/>
  <c r="W79" i="61"/>
  <c r="AP78" i="61"/>
  <c r="AL78" i="61"/>
  <c r="AJ78" i="61"/>
  <c r="AH78" i="61"/>
  <c r="AF78" i="61"/>
  <c r="AC78" i="61"/>
  <c r="AA78" i="61"/>
  <c r="Y78" i="61"/>
  <c r="W78" i="61"/>
  <c r="AP77" i="61"/>
  <c r="AL77" i="61"/>
  <c r="AJ77" i="61"/>
  <c r="AH77" i="61"/>
  <c r="AF77" i="61"/>
  <c r="AC77" i="61"/>
  <c r="AA77" i="61"/>
  <c r="Y77" i="61"/>
  <c r="W77" i="61"/>
  <c r="AP76" i="61"/>
  <c r="AL76" i="61"/>
  <c r="AJ76" i="61"/>
  <c r="AH76" i="61"/>
  <c r="AF76" i="61"/>
  <c r="AC76" i="61"/>
  <c r="Y76" i="61"/>
  <c r="W76" i="61"/>
  <c r="AP75" i="61"/>
  <c r="AL75" i="61"/>
  <c r="AJ75" i="61"/>
  <c r="AH75" i="61"/>
  <c r="AF75" i="61"/>
  <c r="AC75" i="61"/>
  <c r="AA75" i="61"/>
  <c r="Y75" i="61"/>
  <c r="W75" i="61"/>
  <c r="AP74" i="61"/>
  <c r="AL74" i="61"/>
  <c r="AJ74" i="61"/>
  <c r="AH74" i="61"/>
  <c r="AF74" i="61"/>
  <c r="AC74" i="61"/>
  <c r="AA74" i="61"/>
  <c r="Y74" i="61"/>
  <c r="W74" i="61"/>
  <c r="AP73" i="61"/>
  <c r="AL73" i="61"/>
  <c r="AJ73" i="61"/>
  <c r="AH73" i="61"/>
  <c r="AF73" i="61"/>
  <c r="AC73" i="61"/>
  <c r="AA73" i="61"/>
  <c r="Y73" i="61"/>
  <c r="W73" i="61"/>
  <c r="AP72" i="61"/>
  <c r="AL72" i="61"/>
  <c r="AJ72" i="61"/>
  <c r="AH72" i="61"/>
  <c r="AF72" i="61"/>
  <c r="AC72" i="61"/>
  <c r="AA72" i="61"/>
  <c r="Y72" i="61"/>
  <c r="W72" i="61"/>
  <c r="AP71" i="61"/>
  <c r="AL71" i="61"/>
  <c r="AJ71" i="61"/>
  <c r="AH71" i="61"/>
  <c r="AF71" i="61"/>
  <c r="AC71" i="61"/>
  <c r="AA71" i="61"/>
  <c r="Y71" i="61"/>
  <c r="W71" i="61"/>
  <c r="AP70" i="61"/>
  <c r="AL70" i="61"/>
  <c r="AJ70" i="61"/>
  <c r="AH70" i="61"/>
  <c r="AF70" i="61"/>
  <c r="AC70" i="61"/>
  <c r="AA70" i="61"/>
  <c r="Y70" i="61"/>
  <c r="W70" i="61"/>
  <c r="AP69" i="61"/>
  <c r="AO69" i="61"/>
  <c r="AN69" i="61"/>
  <c r="AM69" i="61"/>
  <c r="AL69" i="61"/>
  <c r="AJ69" i="61"/>
  <c r="AH69" i="61"/>
  <c r="AF69" i="61"/>
  <c r="AC69" i="61"/>
  <c r="AA69" i="61"/>
  <c r="Y69" i="61"/>
  <c r="W69" i="61"/>
  <c r="AP68" i="61"/>
  <c r="AO68" i="61"/>
  <c r="AN68" i="61"/>
  <c r="AM68" i="61"/>
  <c r="AL68" i="61"/>
  <c r="AJ68" i="61"/>
  <c r="AH68" i="61"/>
  <c r="AF68" i="61"/>
  <c r="AC68" i="61"/>
  <c r="AA68" i="61"/>
  <c r="Y68" i="61"/>
  <c r="W68" i="61"/>
  <c r="AP67" i="61"/>
  <c r="AL67" i="61"/>
  <c r="AJ67" i="61"/>
  <c r="AH67" i="61"/>
  <c r="AF67" i="61"/>
  <c r="AC67" i="61"/>
  <c r="AA67" i="61"/>
  <c r="Y67" i="61"/>
  <c r="W67" i="61"/>
  <c r="AP66" i="61"/>
  <c r="AL66" i="61"/>
  <c r="AJ66" i="61"/>
  <c r="AH66" i="61"/>
  <c r="AF66" i="61"/>
  <c r="AC66" i="61"/>
  <c r="AA66" i="61"/>
  <c r="Y66" i="61"/>
  <c r="W66" i="61"/>
  <c r="AP65" i="61"/>
  <c r="AL65" i="61"/>
  <c r="AJ65" i="61"/>
  <c r="AH65" i="61"/>
  <c r="AF65" i="61"/>
  <c r="AC65" i="61"/>
  <c r="AA65" i="61"/>
  <c r="Y65" i="61"/>
  <c r="W65" i="61"/>
  <c r="AP64" i="61"/>
  <c r="AL64" i="61"/>
  <c r="AJ64" i="61"/>
  <c r="AH64" i="61"/>
  <c r="AF64" i="61"/>
  <c r="AC64" i="61"/>
  <c r="AA64" i="61"/>
  <c r="Y64" i="61"/>
  <c r="W64" i="61"/>
  <c r="AP63" i="61"/>
  <c r="AL63" i="61"/>
  <c r="AJ63" i="61"/>
  <c r="AH63" i="61"/>
  <c r="AF63" i="61"/>
  <c r="AC63" i="61"/>
  <c r="AA63" i="61"/>
  <c r="Y63" i="61"/>
  <c r="W63" i="61"/>
  <c r="AP62" i="61"/>
  <c r="AL62" i="61"/>
  <c r="AJ62" i="61"/>
  <c r="AH62" i="61"/>
  <c r="AF62" i="61"/>
  <c r="AC62" i="61"/>
  <c r="AA62" i="61"/>
  <c r="Y62" i="61"/>
  <c r="W62" i="61"/>
  <c r="AP61" i="61"/>
  <c r="AL61" i="61"/>
  <c r="AJ61" i="61"/>
  <c r="AH61" i="61"/>
  <c r="AF61" i="61"/>
  <c r="AC61" i="61"/>
  <c r="AA61" i="61"/>
  <c r="Y61" i="61"/>
  <c r="W61" i="61"/>
  <c r="AP60" i="61"/>
  <c r="AL60" i="61"/>
  <c r="AJ60" i="61"/>
  <c r="AH60" i="61"/>
  <c r="AF60" i="61"/>
  <c r="AC60" i="61"/>
  <c r="AA60" i="61"/>
  <c r="Y60" i="61"/>
  <c r="W60" i="61"/>
  <c r="AP59" i="61"/>
  <c r="AL59" i="61"/>
  <c r="AJ59" i="61"/>
  <c r="AH59" i="61"/>
  <c r="AF59" i="61"/>
  <c r="AC59" i="61"/>
  <c r="AA59" i="61"/>
  <c r="Y59" i="61"/>
  <c r="W59" i="61"/>
  <c r="AP58" i="61"/>
  <c r="AL58" i="61"/>
  <c r="AJ58" i="61"/>
  <c r="AH58" i="61"/>
  <c r="AF58" i="61"/>
  <c r="AC58" i="61"/>
  <c r="AA58" i="61"/>
  <c r="Y58" i="61"/>
  <c r="W58" i="61"/>
  <c r="AP57" i="61"/>
  <c r="AL57" i="61"/>
  <c r="AJ57" i="61"/>
  <c r="AH57" i="61"/>
  <c r="AF57" i="61"/>
  <c r="AC57" i="61"/>
  <c r="AA57" i="61"/>
  <c r="Y57" i="61"/>
  <c r="W57" i="61"/>
  <c r="AP56" i="61"/>
  <c r="AL56" i="61"/>
  <c r="AJ56" i="61"/>
  <c r="AH56" i="61"/>
  <c r="AF56" i="61"/>
  <c r="AC56" i="61"/>
  <c r="AA56" i="61"/>
  <c r="Y56" i="61"/>
  <c r="W56" i="61"/>
  <c r="AP55" i="61"/>
  <c r="AL55" i="61"/>
  <c r="AJ55" i="61"/>
  <c r="AH55" i="61"/>
  <c r="AF55" i="61"/>
  <c r="AC55" i="61"/>
  <c r="AA55" i="61"/>
  <c r="Y55" i="61"/>
  <c r="W55" i="61"/>
  <c r="AP54" i="61"/>
  <c r="AL54" i="61"/>
  <c r="AJ54" i="61"/>
  <c r="AH54" i="61"/>
  <c r="AF54" i="61"/>
  <c r="AC54" i="61"/>
  <c r="Y54" i="61"/>
  <c r="W54" i="61"/>
  <c r="AP53" i="61"/>
  <c r="AL53" i="61"/>
  <c r="AJ53" i="61"/>
  <c r="AH53" i="61"/>
  <c r="AF53" i="61"/>
  <c r="AC53" i="61"/>
  <c r="AA53" i="61"/>
  <c r="Y53" i="61"/>
  <c r="W53" i="61"/>
  <c r="AP52" i="61"/>
  <c r="AL52" i="61"/>
  <c r="AJ52" i="61"/>
  <c r="AH52" i="61"/>
  <c r="AF52" i="61"/>
  <c r="AA52" i="61"/>
  <c r="Y52" i="61"/>
  <c r="AP51" i="61"/>
  <c r="AL51" i="61"/>
  <c r="AJ51" i="61"/>
  <c r="AH51" i="61"/>
  <c r="AF51" i="61"/>
  <c r="AC51" i="61"/>
  <c r="AA51" i="61"/>
  <c r="Y51" i="61"/>
  <c r="W51" i="61"/>
  <c r="AP50" i="61"/>
  <c r="AL50" i="61"/>
  <c r="AJ50" i="61"/>
  <c r="AH50" i="61"/>
  <c r="AF50" i="61"/>
  <c r="AC50" i="61"/>
  <c r="AA50" i="61"/>
  <c r="Y50" i="61"/>
  <c r="W50" i="61"/>
  <c r="AP49" i="61"/>
  <c r="AL49" i="61"/>
  <c r="AJ49" i="61"/>
  <c r="AH49" i="61"/>
  <c r="AF49" i="61"/>
  <c r="AC49" i="61"/>
  <c r="AA49" i="61"/>
  <c r="Y49" i="61"/>
  <c r="W49" i="61"/>
  <c r="AP48" i="61"/>
  <c r="AC48" i="61"/>
  <c r="AA48" i="61"/>
  <c r="Y48" i="61"/>
  <c r="W48" i="61"/>
  <c r="AP47" i="61"/>
  <c r="AL47" i="61"/>
  <c r="AJ47" i="61"/>
  <c r="AH47" i="61"/>
  <c r="AF47" i="61"/>
  <c r="AC47" i="61"/>
  <c r="AA47" i="61"/>
  <c r="Y47" i="61"/>
  <c r="W47" i="61"/>
  <c r="AP46" i="61"/>
  <c r="AL46" i="61"/>
  <c r="AJ46" i="61"/>
  <c r="AH46" i="61"/>
  <c r="AF46" i="61"/>
  <c r="AC46" i="61"/>
  <c r="AA46" i="61"/>
  <c r="Y46" i="61"/>
  <c r="W46" i="61"/>
  <c r="AP45" i="61"/>
  <c r="AJ45" i="61"/>
  <c r="AH45" i="61"/>
  <c r="AF45" i="61"/>
  <c r="AC45" i="61"/>
  <c r="AA45" i="61"/>
  <c r="Y45" i="61"/>
  <c r="W45" i="61"/>
  <c r="AP44" i="61"/>
  <c r="AD44" i="61"/>
  <c r="AL44" i="61" s="1"/>
  <c r="AC44" i="61"/>
  <c r="AA44" i="61"/>
  <c r="Y44" i="61"/>
  <c r="W44" i="61"/>
  <c r="AP43" i="61"/>
  <c r="AL43" i="61"/>
  <c r="AJ43" i="61"/>
  <c r="AH43" i="61"/>
  <c r="AF43" i="61"/>
  <c r="AC43" i="61"/>
  <c r="AA43" i="61"/>
  <c r="Y43" i="61"/>
  <c r="W43" i="61"/>
  <c r="AP42" i="61"/>
  <c r="AL42" i="61"/>
  <c r="AJ42" i="61"/>
  <c r="AH42" i="61"/>
  <c r="AF42" i="61"/>
  <c r="AC42" i="61"/>
  <c r="AA42" i="61"/>
  <c r="Y42" i="61"/>
  <c r="W42" i="61"/>
  <c r="AP41" i="61"/>
  <c r="AJ41" i="61"/>
  <c r="AH41" i="61"/>
  <c r="AF41" i="61"/>
  <c r="AC41" i="61"/>
  <c r="AA41" i="61"/>
  <c r="Y41" i="61"/>
  <c r="W41" i="61"/>
  <c r="AP40" i="61"/>
  <c r="AL40" i="61"/>
  <c r="AJ40" i="61"/>
  <c r="AH40" i="61"/>
  <c r="AC40" i="61"/>
  <c r="AA40" i="61"/>
  <c r="Y40" i="61"/>
  <c r="W40" i="61"/>
  <c r="AP39" i="61"/>
  <c r="AL39" i="61"/>
  <c r="AJ39" i="61"/>
  <c r="AH39" i="61"/>
  <c r="AF39" i="61"/>
  <c r="AC39" i="61"/>
  <c r="AA39" i="61"/>
  <c r="Y39" i="61"/>
  <c r="W39" i="61"/>
  <c r="AP38" i="61"/>
  <c r="AL38" i="61"/>
  <c r="AJ38" i="61"/>
  <c r="AH38" i="61"/>
  <c r="AF38" i="61"/>
  <c r="AC38" i="61"/>
  <c r="AA38" i="61"/>
  <c r="Y38" i="61"/>
  <c r="W38" i="61"/>
  <c r="AP37" i="61"/>
  <c r="AL37" i="61"/>
  <c r="AJ37" i="61"/>
  <c r="AH37" i="61"/>
  <c r="AF37" i="61"/>
  <c r="AC37" i="61"/>
  <c r="AA37" i="61"/>
  <c r="Y37" i="61"/>
  <c r="W37" i="61"/>
  <c r="AP36" i="61"/>
  <c r="AL36" i="61"/>
  <c r="AJ36" i="61"/>
  <c r="AH36" i="61"/>
  <c r="AF36" i="61"/>
  <c r="AC36" i="61"/>
  <c r="AA36" i="61"/>
  <c r="Y36" i="61"/>
  <c r="W36" i="61"/>
  <c r="AP35" i="61"/>
  <c r="AL35" i="61"/>
  <c r="AJ35" i="61"/>
  <c r="AH35" i="61"/>
  <c r="AF35" i="61"/>
  <c r="AC35" i="61"/>
  <c r="AA35" i="61"/>
  <c r="Y35" i="61"/>
  <c r="W35" i="61"/>
  <c r="AP34" i="61"/>
  <c r="AL34" i="61"/>
  <c r="AJ34" i="61"/>
  <c r="AH34" i="61"/>
  <c r="AF34" i="61"/>
  <c r="AC34" i="61"/>
  <c r="AA34" i="61"/>
  <c r="Y34" i="61"/>
  <c r="W34" i="61"/>
  <c r="AP33" i="61"/>
  <c r="AL33" i="61"/>
  <c r="AJ33" i="61"/>
  <c r="AH33" i="61"/>
  <c r="AF33" i="61"/>
  <c r="AC33" i="61"/>
  <c r="AA33" i="61"/>
  <c r="Y33" i="61"/>
  <c r="W33" i="61"/>
  <c r="AP32" i="61"/>
  <c r="AL32" i="61"/>
  <c r="AJ32" i="61"/>
  <c r="AH32" i="61"/>
  <c r="AF32" i="61"/>
  <c r="AC32" i="61"/>
  <c r="AA32" i="61"/>
  <c r="Y32" i="61"/>
  <c r="W32" i="61"/>
  <c r="AP31" i="61"/>
  <c r="AL31" i="61"/>
  <c r="AJ31" i="61"/>
  <c r="AH31" i="61"/>
  <c r="AF31" i="61"/>
  <c r="AC31" i="61"/>
  <c r="AA31" i="61"/>
  <c r="Y31" i="61"/>
  <c r="W31" i="61"/>
  <c r="AP30" i="61"/>
  <c r="AL30" i="61"/>
  <c r="AJ30" i="61"/>
  <c r="AH30" i="61"/>
  <c r="AF30" i="61"/>
  <c r="AC30" i="61"/>
  <c r="AA30" i="61"/>
  <c r="Y30" i="61"/>
  <c r="W30" i="61"/>
  <c r="AP29" i="61"/>
  <c r="AL29" i="61"/>
  <c r="AJ29" i="61"/>
  <c r="AH29" i="61"/>
  <c r="AF29" i="61"/>
  <c r="AC29" i="61"/>
  <c r="AA29" i="61"/>
  <c r="Y29" i="61"/>
  <c r="W29" i="61"/>
  <c r="AP28" i="61"/>
  <c r="AL28" i="61"/>
  <c r="AJ28" i="61"/>
  <c r="AH28" i="61"/>
  <c r="AF28" i="61"/>
  <c r="AC28" i="61"/>
  <c r="AA28" i="61"/>
  <c r="Y28" i="61"/>
  <c r="W28" i="61"/>
  <c r="AP27" i="61"/>
  <c r="AL27" i="61"/>
  <c r="AJ27" i="61"/>
  <c r="AH27" i="61"/>
  <c r="AF27" i="61"/>
  <c r="AC27" i="61"/>
  <c r="AA27" i="61"/>
  <c r="Y27" i="61"/>
  <c r="W27" i="61"/>
  <c r="AP26" i="61"/>
  <c r="AL26" i="61"/>
  <c r="AJ26" i="61"/>
  <c r="AH26" i="61"/>
  <c r="AF26" i="61"/>
  <c r="AC26" i="61"/>
  <c r="AA26" i="61"/>
  <c r="Y26" i="61"/>
  <c r="W26" i="61"/>
  <c r="AP25" i="61"/>
  <c r="AD25" i="61"/>
  <c r="AH25" i="61" s="1"/>
  <c r="AC25" i="61"/>
  <c r="AA25" i="61"/>
  <c r="Y25" i="61"/>
  <c r="W25" i="61"/>
  <c r="AP24" i="61"/>
  <c r="AL24" i="61"/>
  <c r="AJ24" i="61"/>
  <c r="AH24" i="61"/>
  <c r="AF24" i="61"/>
  <c r="AC24" i="61"/>
  <c r="AA24" i="61"/>
  <c r="Y24" i="61"/>
  <c r="W24" i="61"/>
  <c r="AP23" i="61"/>
  <c r="AD23" i="61"/>
  <c r="AC23" i="61"/>
  <c r="AA23" i="61"/>
  <c r="Y23" i="61"/>
  <c r="W23" i="61"/>
  <c r="AP22" i="61"/>
  <c r="AD22" i="61"/>
  <c r="AA22" i="61"/>
  <c r="Y22" i="61"/>
  <c r="W22" i="61"/>
  <c r="AP21" i="61"/>
  <c r="AL21" i="61"/>
  <c r="AJ21" i="61"/>
  <c r="AH21" i="61"/>
  <c r="AF21" i="61"/>
  <c r="AC21" i="61"/>
  <c r="AA21" i="61"/>
  <c r="Y21" i="61"/>
  <c r="W21" i="61"/>
  <c r="AP20" i="61"/>
  <c r="AL20" i="61"/>
  <c r="AJ20" i="61"/>
  <c r="AH20" i="61"/>
  <c r="AF20" i="61"/>
  <c r="AC20" i="61"/>
  <c r="AA20" i="61"/>
  <c r="Y20" i="61"/>
  <c r="W20" i="61"/>
  <c r="AP19" i="61"/>
  <c r="AO19" i="61"/>
  <c r="AN19" i="61"/>
  <c r="AM19" i="61"/>
  <c r="AL19" i="61"/>
  <c r="AJ19" i="61"/>
  <c r="AH19" i="61"/>
  <c r="AF19" i="61"/>
  <c r="AC19" i="61"/>
  <c r="AA19" i="61"/>
  <c r="Y19" i="61"/>
  <c r="W19" i="61"/>
  <c r="AP18" i="61"/>
  <c r="AN18" i="61"/>
  <c r="AM18" i="61"/>
  <c r="AD18" i="61"/>
  <c r="AL18" i="61" s="1"/>
  <c r="AC18" i="61"/>
  <c r="AA18" i="61"/>
  <c r="Y18" i="61"/>
  <c r="W18" i="61"/>
  <c r="AP17" i="61"/>
  <c r="AL17" i="61"/>
  <c r="AJ17" i="61"/>
  <c r="AH17" i="61"/>
  <c r="AF17" i="61"/>
  <c r="AC17" i="61"/>
  <c r="AA17" i="61"/>
  <c r="Y17" i="61"/>
  <c r="W17" i="61"/>
  <c r="AP16" i="61"/>
  <c r="AL16" i="61"/>
  <c r="AJ16" i="61"/>
  <c r="AH16" i="61"/>
  <c r="AF16" i="61"/>
  <c r="AC16" i="61"/>
  <c r="AA16" i="61"/>
  <c r="Y16" i="61"/>
  <c r="W16" i="61"/>
  <c r="AP15" i="61"/>
  <c r="AD15" i="61"/>
  <c r="AF15" i="61" s="1"/>
  <c r="AC15" i="61"/>
  <c r="AA15" i="61"/>
  <c r="Y15" i="61"/>
  <c r="W15" i="61"/>
  <c r="AP14" i="61"/>
  <c r="AD14" i="61"/>
  <c r="AJ14" i="61" s="1"/>
  <c r="AC14" i="61"/>
  <c r="AA14" i="61"/>
  <c r="Y14" i="61"/>
  <c r="W14" i="61"/>
  <c r="AP13" i="61"/>
  <c r="AL13" i="61"/>
  <c r="AJ13" i="61"/>
  <c r="AH13" i="61"/>
  <c r="AF13" i="61"/>
  <c r="AC13" i="61"/>
  <c r="AA13" i="61"/>
  <c r="Y13" i="61"/>
  <c r="W13" i="61"/>
  <c r="AP12" i="61"/>
  <c r="AD12" i="61"/>
  <c r="AH12" i="61" s="1"/>
  <c r="AC12" i="61"/>
  <c r="AA12" i="61"/>
  <c r="Y12" i="61"/>
  <c r="W12" i="61"/>
  <c r="AP11" i="61"/>
  <c r="AL11" i="61"/>
  <c r="AJ11" i="61"/>
  <c r="AH11" i="61"/>
  <c r="AF11" i="61"/>
  <c r="AC11" i="61"/>
  <c r="AA11" i="61"/>
  <c r="Y11" i="61"/>
  <c r="W11" i="61"/>
  <c r="AP10" i="61"/>
  <c r="AD10" i="61"/>
  <c r="AF10" i="61" s="1"/>
  <c r="AC10" i="61"/>
  <c r="AA10" i="61"/>
  <c r="Y10" i="61"/>
  <c r="W10" i="61"/>
  <c r="AP9" i="61"/>
  <c r="AL9" i="61"/>
  <c r="AJ9" i="61"/>
  <c r="AH9" i="61"/>
  <c r="AF9" i="61"/>
  <c r="AC9" i="61"/>
  <c r="AA9" i="61"/>
  <c r="Y9" i="61"/>
  <c r="W9" i="61"/>
  <c r="AP8" i="61"/>
  <c r="AL8" i="61"/>
  <c r="AJ8" i="61"/>
  <c r="AH8" i="61"/>
  <c r="AF8" i="61"/>
  <c r="AC8" i="61"/>
  <c r="AA8" i="61"/>
  <c r="Y8" i="61"/>
  <c r="W8" i="61"/>
  <c r="AP7" i="61"/>
  <c r="AD7" i="61"/>
  <c r="AJ7" i="61" s="1"/>
  <c r="AC7" i="61"/>
  <c r="AA7" i="61"/>
  <c r="Y7" i="61"/>
  <c r="W7" i="61"/>
  <c r="AP6" i="61"/>
  <c r="AL6" i="61"/>
  <c r="AJ6" i="61"/>
  <c r="AH6" i="61"/>
  <c r="AF6" i="61"/>
  <c r="AC6" i="61"/>
  <c r="AA6" i="61"/>
  <c r="Y6" i="61"/>
  <c r="W6" i="61"/>
  <c r="AP5" i="61"/>
  <c r="AL5" i="61"/>
  <c r="AJ5" i="61"/>
  <c r="AH5" i="61"/>
  <c r="AF5" i="61"/>
  <c r="AC5" i="61"/>
  <c r="AA5" i="61"/>
  <c r="Y5" i="61"/>
  <c r="W5" i="61"/>
  <c r="AP4" i="61"/>
  <c r="AL4" i="61"/>
  <c r="AJ4" i="61"/>
  <c r="AH4" i="61"/>
  <c r="AF4" i="61"/>
  <c r="AC4" i="61"/>
  <c r="AA4" i="61"/>
  <c r="Y4" i="61"/>
  <c r="W4" i="61"/>
  <c r="AP3" i="61"/>
  <c r="AL3" i="61"/>
  <c r="AD3" i="61"/>
  <c r="AH3" i="61" s="1"/>
  <c r="AC3" i="61"/>
  <c r="AA3" i="61"/>
  <c r="Y3" i="61"/>
  <c r="W3" i="61"/>
  <c r="AP2" i="61"/>
  <c r="AL2" i="61"/>
  <c r="AJ2" i="61"/>
  <c r="AH2" i="61"/>
  <c r="AF2" i="61"/>
  <c r="AC2" i="61"/>
  <c r="AA2" i="61"/>
  <c r="AH10" i="61"/>
  <c r="AH15" i="61"/>
  <c r="AJ10" i="61"/>
  <c r="AF172" i="61"/>
  <c r="F21" i="2"/>
  <c r="F20" i="2"/>
  <c r="F19" i="2"/>
  <c r="F18" i="2"/>
  <c r="F17" i="2"/>
  <c r="F16" i="2"/>
  <c r="F15" i="2"/>
  <c r="G21" i="2"/>
  <c r="G20" i="2"/>
  <c r="G17" i="2"/>
  <c r="G16" i="2"/>
  <c r="G18" i="2"/>
  <c r="D22" i="2"/>
  <c r="F22" i="57"/>
  <c r="D22" i="57"/>
  <c r="E17" i="57" s="1"/>
  <c r="B22" i="57"/>
  <c r="C17" i="57" s="1"/>
  <c r="G21" i="57"/>
  <c r="G20" i="57"/>
  <c r="G19" i="57"/>
  <c r="G18" i="57"/>
  <c r="G17" i="57"/>
  <c r="G16" i="57"/>
  <c r="E16" i="57"/>
  <c r="G15" i="57"/>
  <c r="F22" i="56"/>
  <c r="D22" i="56"/>
  <c r="B22" i="56"/>
  <c r="G21" i="56"/>
  <c r="G20" i="56"/>
  <c r="G19" i="56"/>
  <c r="G18" i="56"/>
  <c r="G17" i="56"/>
  <c r="G16" i="56"/>
  <c r="G15" i="56"/>
  <c r="E15" i="57"/>
  <c r="E21" i="57"/>
  <c r="E19" i="56"/>
  <c r="E21" i="56"/>
  <c r="C20" i="56"/>
  <c r="F34" i="2"/>
  <c r="D34" i="2"/>
  <c r="E31" i="2" s="1"/>
  <c r="B34" i="2"/>
  <c r="C29" i="2" s="1"/>
  <c r="G33" i="2"/>
  <c r="G32" i="2"/>
  <c r="G31" i="2"/>
  <c r="G30" i="2"/>
  <c r="G29" i="2"/>
  <c r="G28" i="2"/>
  <c r="G27" i="2"/>
  <c r="F39" i="2"/>
  <c r="F40" i="2"/>
  <c r="F41" i="2"/>
  <c r="F42" i="2"/>
  <c r="F43" i="2"/>
  <c r="F44" i="2"/>
  <c r="F45" i="2"/>
  <c r="F34" i="56"/>
  <c r="D34" i="56"/>
  <c r="B34" i="56"/>
  <c r="C27" i="56" s="1"/>
  <c r="G33" i="56"/>
  <c r="G32" i="56"/>
  <c r="G31" i="56"/>
  <c r="G30" i="56"/>
  <c r="G29" i="56"/>
  <c r="G28" i="56"/>
  <c r="G27" i="56"/>
  <c r="G39" i="56"/>
  <c r="G40" i="56"/>
  <c r="G41" i="56"/>
  <c r="G42" i="56"/>
  <c r="G43" i="56"/>
  <c r="G44" i="56"/>
  <c r="G45" i="56"/>
  <c r="B46" i="56"/>
  <c r="D46" i="56"/>
  <c r="E46" i="56" s="1"/>
  <c r="F46" i="56"/>
  <c r="C28" i="2"/>
  <c r="C32" i="2"/>
  <c r="C30" i="2"/>
  <c r="G42" i="2"/>
  <c r="G43" i="2"/>
  <c r="G44" i="2"/>
  <c r="G40" i="2"/>
  <c r="C33" i="56"/>
  <c r="E45" i="56"/>
  <c r="E43" i="56"/>
  <c r="E41" i="56"/>
  <c r="C43" i="56"/>
  <c r="F34" i="57"/>
  <c r="D34" i="57"/>
  <c r="E27" i="57" s="1"/>
  <c r="B34" i="57"/>
  <c r="C31" i="57" s="1"/>
  <c r="G33" i="57"/>
  <c r="G32" i="57"/>
  <c r="G31" i="57"/>
  <c r="G30" i="57"/>
  <c r="G29" i="57"/>
  <c r="G28" i="57"/>
  <c r="G27" i="57"/>
  <c r="E31" i="57"/>
  <c r="E28" i="57"/>
  <c r="E32" i="57"/>
  <c r="E33" i="57"/>
  <c r="E30" i="57"/>
  <c r="F46" i="57"/>
  <c r="D46" i="57"/>
  <c r="E46" i="57" s="1"/>
  <c r="B46" i="57"/>
  <c r="C43" i="57" s="1"/>
  <c r="G45" i="57"/>
  <c r="G44" i="57"/>
  <c r="G43" i="57"/>
  <c r="G42" i="57"/>
  <c r="G41" i="57"/>
  <c r="G40" i="57"/>
  <c r="G39" i="57"/>
  <c r="E39" i="57"/>
  <c r="E40" i="57"/>
  <c r="E42" i="57"/>
  <c r="E44" i="57"/>
  <c r="E41" i="57"/>
  <c r="E43" i="57"/>
  <c r="E45" i="57"/>
  <c r="F57" i="2"/>
  <c r="F56" i="2"/>
  <c r="F55" i="2"/>
  <c r="F54" i="2"/>
  <c r="F53" i="2"/>
  <c r="F52" i="2"/>
  <c r="F51" i="2"/>
  <c r="G51" i="57"/>
  <c r="B58" i="57"/>
  <c r="D58" i="57"/>
  <c r="F58" i="57"/>
  <c r="G57" i="57"/>
  <c r="G56" i="57"/>
  <c r="G55" i="57"/>
  <c r="G54" i="57"/>
  <c r="G53" i="57"/>
  <c r="G52" i="57"/>
  <c r="E51" i="57"/>
  <c r="F58" i="56"/>
  <c r="D58" i="56"/>
  <c r="B58" i="56"/>
  <c r="C56" i="56"/>
  <c r="G57" i="56"/>
  <c r="G56" i="56"/>
  <c r="G55" i="56"/>
  <c r="G54" i="56"/>
  <c r="G53" i="56"/>
  <c r="G52" i="56"/>
  <c r="G51" i="56"/>
  <c r="E54" i="57"/>
  <c r="G56" i="2"/>
  <c r="G57" i="2"/>
  <c r="G52" i="2"/>
  <c r="C53" i="56"/>
  <c r="C57" i="56"/>
  <c r="C54" i="56"/>
  <c r="C58" i="56"/>
  <c r="C51" i="56"/>
  <c r="C55" i="56"/>
  <c r="C52" i="56"/>
  <c r="G54" i="2"/>
  <c r="C54" i="57"/>
  <c r="C52" i="57"/>
  <c r="C57" i="57"/>
  <c r="F69" i="2"/>
  <c r="F68" i="2"/>
  <c r="F67" i="2"/>
  <c r="F66" i="2"/>
  <c r="F65" i="2"/>
  <c r="F64" i="2"/>
  <c r="F63" i="2"/>
  <c r="F70" i="57"/>
  <c r="D70" i="57"/>
  <c r="B70" i="57"/>
  <c r="C67" i="57" s="1"/>
  <c r="G69" i="57"/>
  <c r="G68" i="57"/>
  <c r="G68" i="2" s="1"/>
  <c r="G67" i="57"/>
  <c r="G66" i="57"/>
  <c r="G65" i="57"/>
  <c r="G64" i="57"/>
  <c r="G64" i="2" s="1"/>
  <c r="G63" i="57"/>
  <c r="F70" i="56"/>
  <c r="D70" i="56"/>
  <c r="B70" i="56"/>
  <c r="C65" i="56" s="1"/>
  <c r="G69" i="56"/>
  <c r="G69" i="2" s="1"/>
  <c r="G68" i="56"/>
  <c r="G67" i="56"/>
  <c r="G66" i="56"/>
  <c r="G65" i="56"/>
  <c r="G65" i="2" s="1"/>
  <c r="G64" i="56"/>
  <c r="G63" i="56"/>
  <c r="C66" i="57"/>
  <c r="E66" i="56"/>
  <c r="E68" i="56"/>
  <c r="F81" i="2"/>
  <c r="F80" i="2"/>
  <c r="F79" i="2"/>
  <c r="F78" i="2"/>
  <c r="F77" i="2"/>
  <c r="F76" i="2"/>
  <c r="F75" i="2"/>
  <c r="F93" i="2"/>
  <c r="F92" i="2"/>
  <c r="F91" i="2"/>
  <c r="F90" i="2"/>
  <c r="F89" i="2"/>
  <c r="F88" i="2"/>
  <c r="F87" i="2"/>
  <c r="F105" i="2"/>
  <c r="F104" i="2"/>
  <c r="F103" i="2"/>
  <c r="F102" i="2"/>
  <c r="F106" i="2" s="1"/>
  <c r="F101" i="2"/>
  <c r="F100" i="2"/>
  <c r="F99" i="2"/>
  <c r="D106" i="57"/>
  <c r="F106" i="56"/>
  <c r="D106" i="56"/>
  <c r="E103" i="56" s="1"/>
  <c r="B106" i="56"/>
  <c r="G105" i="56"/>
  <c r="G104" i="56"/>
  <c r="G103" i="56"/>
  <c r="G102" i="56"/>
  <c r="G101" i="56"/>
  <c r="G100" i="56"/>
  <c r="G99" i="56"/>
  <c r="F94" i="56"/>
  <c r="F94" i="2" s="1"/>
  <c r="D94" i="56"/>
  <c r="B94" i="56"/>
  <c r="C93" i="56" s="1"/>
  <c r="G93" i="56"/>
  <c r="G92" i="56"/>
  <c r="C92" i="56"/>
  <c r="G91" i="56"/>
  <c r="G90" i="56"/>
  <c r="G89" i="56"/>
  <c r="G88" i="56"/>
  <c r="G87" i="56"/>
  <c r="F82" i="56"/>
  <c r="D82" i="56"/>
  <c r="B82" i="56"/>
  <c r="C82" i="56" s="1"/>
  <c r="G81" i="56"/>
  <c r="G80" i="56"/>
  <c r="G80" i="2" s="1"/>
  <c r="G79" i="56"/>
  <c r="G78" i="56"/>
  <c r="G77" i="56"/>
  <c r="G76" i="56"/>
  <c r="G75" i="56"/>
  <c r="E101" i="57"/>
  <c r="G81" i="57"/>
  <c r="G80" i="57"/>
  <c r="G79" i="57"/>
  <c r="G78" i="57"/>
  <c r="G78" i="2" s="1"/>
  <c r="G77" i="57"/>
  <c r="G76" i="57"/>
  <c r="G75" i="57"/>
  <c r="G75" i="2" s="1"/>
  <c r="G93" i="57"/>
  <c r="G92" i="57"/>
  <c r="G91" i="57"/>
  <c r="G90" i="57"/>
  <c r="G89" i="57"/>
  <c r="G88" i="57"/>
  <c r="G87" i="57"/>
  <c r="G87" i="2"/>
  <c r="G105" i="57"/>
  <c r="G104" i="57"/>
  <c r="G104" i="2" s="1"/>
  <c r="G103" i="57"/>
  <c r="G102" i="57"/>
  <c r="G101" i="57"/>
  <c r="G100" i="57"/>
  <c r="G99" i="57"/>
  <c r="F106" i="57"/>
  <c r="F94" i="57"/>
  <c r="D94" i="57"/>
  <c r="F82" i="57"/>
  <c r="D82" i="57"/>
  <c r="E75" i="57" s="1"/>
  <c r="B106" i="57"/>
  <c r="B94" i="57"/>
  <c r="B82" i="57"/>
  <c r="C79" i="57" s="1"/>
  <c r="E103" i="57"/>
  <c r="E102" i="56"/>
  <c r="G79" i="2"/>
  <c r="G93" i="2"/>
  <c r="B82" i="2"/>
  <c r="B106" i="2"/>
  <c r="C77" i="56"/>
  <c r="C81" i="56"/>
  <c r="E101" i="56"/>
  <c r="C75" i="57"/>
  <c r="C76" i="56"/>
  <c r="C80" i="56"/>
  <c r="E104" i="56"/>
  <c r="C91" i="57"/>
  <c r="C79" i="56"/>
  <c r="E99" i="56"/>
  <c r="E91" i="57"/>
  <c r="C80" i="57"/>
  <c r="C77" i="57"/>
  <c r="C78" i="57"/>
  <c r="C89" i="57"/>
  <c r="C93" i="57"/>
  <c r="C102" i="57"/>
  <c r="C103" i="2"/>
  <c r="F117" i="2"/>
  <c r="F116" i="2"/>
  <c r="F115" i="2"/>
  <c r="F114" i="2"/>
  <c r="F113" i="2"/>
  <c r="D113" i="2"/>
  <c r="F112" i="2"/>
  <c r="D112" i="2"/>
  <c r="F111" i="2"/>
  <c r="D111" i="2"/>
  <c r="F117" i="57"/>
  <c r="D117" i="57"/>
  <c r="E110" i="57" s="1"/>
  <c r="B117" i="57"/>
  <c r="C113" i="57" s="1"/>
  <c r="G116" i="57"/>
  <c r="G115" i="57"/>
  <c r="G114" i="57"/>
  <c r="G113" i="57"/>
  <c r="G112" i="57"/>
  <c r="G111" i="57"/>
  <c r="G112" i="2" s="1"/>
  <c r="G110" i="57"/>
  <c r="E111" i="57"/>
  <c r="E116" i="57"/>
  <c r="C117" i="57"/>
  <c r="F118" i="56"/>
  <c r="F118" i="2" s="1"/>
  <c r="D118" i="56"/>
  <c r="B118" i="56"/>
  <c r="B118" i="2" s="1"/>
  <c r="G117" i="56"/>
  <c r="G116" i="56"/>
  <c r="G115" i="56"/>
  <c r="G114" i="56"/>
  <c r="G113" i="56"/>
  <c r="G112" i="56"/>
  <c r="G111" i="56"/>
  <c r="D34" i="59"/>
  <c r="C34" i="59"/>
  <c r="D31" i="59"/>
  <c r="C31" i="59"/>
  <c r="D28" i="59"/>
  <c r="C28" i="59"/>
  <c r="D27" i="59"/>
  <c r="C27" i="59"/>
  <c r="J18" i="59"/>
  <c r="I18" i="59"/>
  <c r="H18" i="59"/>
  <c r="G18" i="59"/>
  <c r="J17" i="59"/>
  <c r="I17" i="59"/>
  <c r="H17" i="59"/>
  <c r="G17" i="59"/>
  <c r="F17" i="59"/>
  <c r="E17" i="59"/>
  <c r="D17" i="59"/>
  <c r="C17" i="59"/>
  <c r="J16" i="59"/>
  <c r="I16" i="59"/>
  <c r="H16" i="59"/>
  <c r="G16" i="59"/>
  <c r="F16" i="59"/>
  <c r="E16" i="59"/>
  <c r="D16" i="59"/>
  <c r="C16" i="59"/>
  <c r="J15" i="59"/>
  <c r="I15" i="59"/>
  <c r="H15" i="59"/>
  <c r="G15" i="59"/>
  <c r="F15" i="59"/>
  <c r="E15" i="59"/>
  <c r="D15" i="59"/>
  <c r="C15" i="59"/>
  <c r="J14" i="59"/>
  <c r="I14" i="59"/>
  <c r="H14" i="59"/>
  <c r="G14" i="59"/>
  <c r="F14" i="59"/>
  <c r="E14" i="59"/>
  <c r="D14" i="59"/>
  <c r="C14" i="59"/>
  <c r="J13" i="59"/>
  <c r="I13" i="59"/>
  <c r="H13" i="59"/>
  <c r="G13" i="59"/>
  <c r="F13" i="59"/>
  <c r="E13" i="59"/>
  <c r="D13" i="59"/>
  <c r="C13" i="59"/>
  <c r="J9" i="59"/>
  <c r="I9" i="59"/>
  <c r="H9" i="59"/>
  <c r="G9" i="59"/>
  <c r="F9" i="59"/>
  <c r="E9" i="59"/>
  <c r="D9" i="59"/>
  <c r="C9" i="59"/>
  <c r="BF34" i="58"/>
  <c r="BE34" i="58"/>
  <c r="BD34" i="58"/>
  <c r="BC34" i="58"/>
  <c r="BB34" i="58"/>
  <c r="BA34" i="58"/>
  <c r="AZ34" i="58"/>
  <c r="AY34" i="58"/>
  <c r="AX34" i="58"/>
  <c r="AW34" i="58"/>
  <c r="AV34" i="58"/>
  <c r="AU34" i="58"/>
  <c r="AT34" i="58"/>
  <c r="AS34" i="58"/>
  <c r="AR34" i="58"/>
  <c r="AQ34" i="58"/>
  <c r="AP34" i="58"/>
  <c r="AO34" i="58"/>
  <c r="AN34" i="58"/>
  <c r="AM34" i="58"/>
  <c r="AL34" i="58"/>
  <c r="AK34" i="58"/>
  <c r="AJ34" i="58"/>
  <c r="AI34" i="58"/>
  <c r="AH34" i="58"/>
  <c r="AG34" i="58"/>
  <c r="AF34" i="58"/>
  <c r="AE34" i="58"/>
  <c r="AD34" i="58"/>
  <c r="AC34" i="58"/>
  <c r="AB34" i="58"/>
  <c r="AA34" i="58"/>
  <c r="Z34" i="58"/>
  <c r="Y34" i="58"/>
  <c r="X34" i="58"/>
  <c r="W34" i="58"/>
  <c r="V34" i="58"/>
  <c r="U34" i="58"/>
  <c r="T34" i="58"/>
  <c r="S34" i="58"/>
  <c r="R34" i="58"/>
  <c r="Q34" i="58"/>
  <c r="P34" i="58"/>
  <c r="O34" i="58"/>
  <c r="N34" i="58"/>
  <c r="M34" i="58"/>
  <c r="L34" i="58"/>
  <c r="K34" i="58"/>
  <c r="J34" i="58"/>
  <c r="I34" i="58"/>
  <c r="H34" i="58"/>
  <c r="G34" i="58"/>
  <c r="F34" i="58"/>
  <c r="E34" i="58"/>
  <c r="D34" i="58"/>
  <c r="C34" i="58"/>
  <c r="BF31" i="58"/>
  <c r="BE31" i="58"/>
  <c r="BD31" i="58"/>
  <c r="BC31" i="58"/>
  <c r="BB31" i="58"/>
  <c r="BA31" i="58"/>
  <c r="AZ31" i="58"/>
  <c r="AY31" i="58"/>
  <c r="AX31" i="58"/>
  <c r="AW31" i="58"/>
  <c r="AV31" i="58"/>
  <c r="AU31" i="58"/>
  <c r="AT31" i="58"/>
  <c r="AS31" i="58"/>
  <c r="AR31" i="58"/>
  <c r="AQ31" i="58"/>
  <c r="AP31" i="58"/>
  <c r="AO31" i="58"/>
  <c r="AN31" i="58"/>
  <c r="AM31" i="58"/>
  <c r="AL31" i="58"/>
  <c r="AK31" i="58"/>
  <c r="AJ31" i="58"/>
  <c r="AI31" i="58"/>
  <c r="AH31" i="58"/>
  <c r="AG31" i="58"/>
  <c r="AF31" i="58"/>
  <c r="AE31" i="58"/>
  <c r="AD31" i="58"/>
  <c r="AC31" i="58"/>
  <c r="AB31" i="58"/>
  <c r="AA31" i="58"/>
  <c r="Z31" i="58"/>
  <c r="Y31" i="58"/>
  <c r="X31" i="58"/>
  <c r="W31" i="58"/>
  <c r="V31" i="58"/>
  <c r="U31" i="58"/>
  <c r="T31" i="58"/>
  <c r="S31" i="58"/>
  <c r="R31" i="58"/>
  <c r="Q31" i="58"/>
  <c r="P31" i="58"/>
  <c r="O31" i="58"/>
  <c r="N31" i="58"/>
  <c r="M31" i="58"/>
  <c r="L31" i="58"/>
  <c r="K31" i="58"/>
  <c r="J31" i="58"/>
  <c r="I31" i="58"/>
  <c r="H31" i="58"/>
  <c r="G31" i="58"/>
  <c r="F31" i="58"/>
  <c r="E31" i="58"/>
  <c r="D31" i="58"/>
  <c r="C31" i="58"/>
  <c r="BF28" i="58"/>
  <c r="BE28" i="58"/>
  <c r="BD28" i="58"/>
  <c r="BC28" i="58"/>
  <c r="BB28" i="58"/>
  <c r="BA28" i="58"/>
  <c r="AZ28" i="58"/>
  <c r="AY28" i="58"/>
  <c r="AX28" i="58"/>
  <c r="AW28" i="58"/>
  <c r="AV28" i="58"/>
  <c r="AU28" i="58"/>
  <c r="AT28" i="58"/>
  <c r="AS28" i="58"/>
  <c r="AR28" i="58"/>
  <c r="AQ28" i="58"/>
  <c r="AP28" i="58"/>
  <c r="AO28" i="58"/>
  <c r="AN28" i="58"/>
  <c r="AM28" i="58"/>
  <c r="AL28" i="58"/>
  <c r="AK28" i="58"/>
  <c r="AJ28" i="58"/>
  <c r="AI28" i="58"/>
  <c r="AH28" i="58"/>
  <c r="AG28" i="58"/>
  <c r="AF28" i="58"/>
  <c r="AE28" i="58"/>
  <c r="AD28" i="58"/>
  <c r="AC28" i="58"/>
  <c r="AB28" i="58"/>
  <c r="AA28" i="58"/>
  <c r="Z28" i="58"/>
  <c r="Y28" i="58"/>
  <c r="X28" i="58"/>
  <c r="W28" i="58"/>
  <c r="V28" i="58"/>
  <c r="U28" i="58"/>
  <c r="T28" i="58"/>
  <c r="S28" i="58"/>
  <c r="R28" i="58"/>
  <c r="Q28" i="58"/>
  <c r="P28" i="58"/>
  <c r="O28" i="58"/>
  <c r="N28" i="58"/>
  <c r="M28" i="58"/>
  <c r="L28" i="58"/>
  <c r="K28" i="58"/>
  <c r="J28" i="58"/>
  <c r="I28" i="58"/>
  <c r="H28" i="58"/>
  <c r="G28" i="58"/>
  <c r="F28" i="58"/>
  <c r="E28" i="58"/>
  <c r="D28" i="58"/>
  <c r="C28" i="58"/>
  <c r="BC27" i="58"/>
  <c r="BB27" i="58"/>
  <c r="BA27" i="58"/>
  <c r="AZ27" i="58"/>
  <c r="AY27" i="58"/>
  <c r="AX27" i="58"/>
  <c r="AW27" i="58"/>
  <c r="AV27" i="58"/>
  <c r="AU27" i="58"/>
  <c r="AT27" i="58"/>
  <c r="AS27" i="58"/>
  <c r="AR27" i="58"/>
  <c r="AQ27" i="58"/>
  <c r="AP27" i="58"/>
  <c r="AO27" i="58"/>
  <c r="AN27" i="58"/>
  <c r="AM27" i="58"/>
  <c r="AL27" i="58"/>
  <c r="AK27" i="58"/>
  <c r="AJ27" i="58"/>
  <c r="AI27" i="58"/>
  <c r="AH27" i="58"/>
  <c r="AG27" i="58"/>
  <c r="AF27" i="58"/>
  <c r="AE27" i="58"/>
  <c r="AD27" i="58"/>
  <c r="AC27" i="58"/>
  <c r="AB27" i="58"/>
  <c r="AA27" i="58"/>
  <c r="Z27" i="58"/>
  <c r="Y27" i="58"/>
  <c r="X27" i="58"/>
  <c r="W27" i="58"/>
  <c r="V27" i="58"/>
  <c r="U27" i="58"/>
  <c r="T27" i="58"/>
  <c r="S27" i="58"/>
  <c r="R27" i="58"/>
  <c r="Q27" i="58"/>
  <c r="P27" i="58"/>
  <c r="O27" i="58"/>
  <c r="N27" i="58"/>
  <c r="M27" i="58"/>
  <c r="L27" i="58"/>
  <c r="K27" i="58"/>
  <c r="J27" i="58"/>
  <c r="I27" i="58"/>
  <c r="F27" i="58"/>
  <c r="E27" i="58"/>
  <c r="D27" i="58"/>
  <c r="C27" i="58"/>
  <c r="BG18" i="58"/>
  <c r="BF18" i="58"/>
  <c r="BF27" i="58" s="1"/>
  <c r="BE18" i="58"/>
  <c r="BE27" i="58" s="1"/>
  <c r="BD18" i="58"/>
  <c r="BD27" i="58" s="1"/>
  <c r="H18" i="58"/>
  <c r="H27" i="58" s="1"/>
  <c r="G18" i="58"/>
  <c r="G27" i="58" s="1"/>
  <c r="BG17" i="58"/>
  <c r="BF17" i="58"/>
  <c r="BE17" i="58"/>
  <c r="BD17" i="58"/>
  <c r="BC17" i="58"/>
  <c r="BB17" i="58"/>
  <c r="BA17" i="58"/>
  <c r="AZ17" i="58"/>
  <c r="AY17" i="58"/>
  <c r="AX17" i="58"/>
  <c r="AW17" i="58"/>
  <c r="AV17" i="58"/>
  <c r="AU17" i="58"/>
  <c r="AT17" i="58"/>
  <c r="AS17" i="58"/>
  <c r="AR17" i="58"/>
  <c r="AQ17" i="58"/>
  <c r="AP17" i="58"/>
  <c r="AO17" i="58"/>
  <c r="AN17" i="58"/>
  <c r="AM17" i="58"/>
  <c r="AL17" i="58"/>
  <c r="AK17" i="58"/>
  <c r="AJ17" i="58"/>
  <c r="AI17" i="58"/>
  <c r="AH17" i="58"/>
  <c r="AG17" i="58"/>
  <c r="AF17" i="58"/>
  <c r="AE17" i="58"/>
  <c r="AD17" i="58"/>
  <c r="AC17" i="58"/>
  <c r="AB17" i="58"/>
  <c r="AA17" i="58"/>
  <c r="Z17" i="58"/>
  <c r="Y17" i="58"/>
  <c r="X17" i="58"/>
  <c r="W17" i="58"/>
  <c r="V17" i="58"/>
  <c r="U17" i="58"/>
  <c r="T17" i="58"/>
  <c r="S17" i="58"/>
  <c r="R17" i="58"/>
  <c r="Q17" i="58"/>
  <c r="P17" i="58"/>
  <c r="O17" i="58"/>
  <c r="N17" i="58"/>
  <c r="M17" i="58"/>
  <c r="L17" i="58"/>
  <c r="K17" i="58"/>
  <c r="J17" i="58"/>
  <c r="I17" i="58"/>
  <c r="H17" i="58"/>
  <c r="G17" i="58"/>
  <c r="F17" i="58"/>
  <c r="E17" i="58"/>
  <c r="D17" i="58"/>
  <c r="C17" i="58"/>
  <c r="BG16" i="58"/>
  <c r="BF16" i="58"/>
  <c r="BE16" i="58"/>
  <c r="BD16" i="58"/>
  <c r="BC16" i="58"/>
  <c r="BB16" i="58"/>
  <c r="BA16" i="58"/>
  <c r="AZ16" i="58"/>
  <c r="AY16" i="58"/>
  <c r="AX16" i="58"/>
  <c r="AW16" i="58"/>
  <c r="AV16" i="58"/>
  <c r="AU16" i="58"/>
  <c r="AT16" i="58"/>
  <c r="AS16" i="58"/>
  <c r="AR16" i="58"/>
  <c r="AQ16" i="58"/>
  <c r="AP16" i="58"/>
  <c r="AO16" i="58"/>
  <c r="AN16" i="58"/>
  <c r="AM16" i="58"/>
  <c r="AL16" i="58"/>
  <c r="AK16" i="58"/>
  <c r="AJ16" i="58"/>
  <c r="AI16" i="58"/>
  <c r="AH16" i="58"/>
  <c r="AG16" i="58"/>
  <c r="AF16" i="58"/>
  <c r="AE16" i="58"/>
  <c r="AD16" i="58"/>
  <c r="AC16" i="58"/>
  <c r="AB16" i="58"/>
  <c r="AA16" i="58"/>
  <c r="Z16" i="58"/>
  <c r="Y16" i="58"/>
  <c r="X16" i="58"/>
  <c r="W16" i="58"/>
  <c r="V16" i="58"/>
  <c r="U16" i="58"/>
  <c r="T16" i="58"/>
  <c r="S16" i="58"/>
  <c r="R16" i="58"/>
  <c r="Q16" i="58"/>
  <c r="P16" i="58"/>
  <c r="O16" i="58"/>
  <c r="N16" i="58"/>
  <c r="M16" i="58"/>
  <c r="L16" i="58"/>
  <c r="K16" i="58"/>
  <c r="J16" i="58"/>
  <c r="I16" i="58"/>
  <c r="H16" i="58"/>
  <c r="G16" i="58"/>
  <c r="F16" i="58"/>
  <c r="E16" i="58"/>
  <c r="D16" i="58"/>
  <c r="C16" i="58"/>
  <c r="BG15" i="58"/>
  <c r="BF15" i="58"/>
  <c r="BE15" i="58"/>
  <c r="BD15" i="58"/>
  <c r="BC15" i="58"/>
  <c r="BB15" i="58"/>
  <c r="BA15" i="58"/>
  <c r="AZ15" i="58"/>
  <c r="AY15" i="58"/>
  <c r="AX15" i="58"/>
  <c r="AW15" i="58"/>
  <c r="AV15" i="58"/>
  <c r="AU15" i="58"/>
  <c r="AT15" i="58"/>
  <c r="AS15" i="58"/>
  <c r="AR15" i="58"/>
  <c r="AQ15" i="58"/>
  <c r="AP15" i="58"/>
  <c r="AO15" i="58"/>
  <c r="AN15" i="58"/>
  <c r="AM15" i="58"/>
  <c r="AL15" i="58"/>
  <c r="AK15" i="58"/>
  <c r="AJ15" i="58"/>
  <c r="AI15" i="58"/>
  <c r="AH15" i="58"/>
  <c r="AG15" i="58"/>
  <c r="AF15" i="58"/>
  <c r="AE15" i="58"/>
  <c r="AD15" i="58"/>
  <c r="AC15" i="58"/>
  <c r="AB15" i="58"/>
  <c r="AA15" i="58"/>
  <c r="Z15" i="58"/>
  <c r="Y15" i="58"/>
  <c r="X15" i="58"/>
  <c r="W15" i="58"/>
  <c r="V15" i="58"/>
  <c r="U15" i="58"/>
  <c r="T15" i="58"/>
  <c r="S15" i="58"/>
  <c r="R15" i="58"/>
  <c r="Q15" i="58"/>
  <c r="P15" i="58"/>
  <c r="O15" i="58"/>
  <c r="N15" i="58"/>
  <c r="M15" i="58"/>
  <c r="L15" i="58"/>
  <c r="K15" i="58"/>
  <c r="J15" i="58"/>
  <c r="I15" i="58"/>
  <c r="H15" i="58"/>
  <c r="G15" i="58"/>
  <c r="F15" i="58"/>
  <c r="E15" i="58"/>
  <c r="D15" i="58"/>
  <c r="C15" i="58"/>
  <c r="BG14" i="58"/>
  <c r="BF14" i="58"/>
  <c r="BE14" i="58"/>
  <c r="BD14" i="58"/>
  <c r="BC14" i="58"/>
  <c r="BB14" i="58"/>
  <c r="BA14" i="58"/>
  <c r="AZ14" i="58"/>
  <c r="AY14" i="58"/>
  <c r="AX14" i="58"/>
  <c r="AW14" i="58"/>
  <c r="AV14" i="58"/>
  <c r="AU14" i="58"/>
  <c r="AT14" i="58"/>
  <c r="AS14" i="58"/>
  <c r="AR14" i="58"/>
  <c r="AQ14" i="58"/>
  <c r="AP14" i="58"/>
  <c r="AO14" i="58"/>
  <c r="AN14" i="58"/>
  <c r="AM14" i="58"/>
  <c r="AL14" i="58"/>
  <c r="AK14" i="58"/>
  <c r="AJ14" i="58"/>
  <c r="AI14" i="58"/>
  <c r="AH14" i="58"/>
  <c r="AG14" i="58"/>
  <c r="AF14" i="58"/>
  <c r="AE14" i="58"/>
  <c r="AD14" i="58"/>
  <c r="AC14" i="58"/>
  <c r="AB14" i="58"/>
  <c r="AA14" i="58"/>
  <c r="Z14" i="58"/>
  <c r="Y14" i="58"/>
  <c r="X14" i="58"/>
  <c r="W14" i="58"/>
  <c r="V14" i="58"/>
  <c r="U14" i="58"/>
  <c r="T14" i="58"/>
  <c r="S14" i="58"/>
  <c r="R14" i="58"/>
  <c r="Q14" i="58"/>
  <c r="P14" i="58"/>
  <c r="O14" i="58"/>
  <c r="N14" i="58"/>
  <c r="M14" i="58"/>
  <c r="L14" i="58"/>
  <c r="K14" i="58"/>
  <c r="J14" i="58"/>
  <c r="I14" i="58"/>
  <c r="H14" i="58"/>
  <c r="G14" i="58"/>
  <c r="F14" i="58"/>
  <c r="E14" i="58"/>
  <c r="D14" i="58"/>
  <c r="C14" i="58"/>
  <c r="BG13" i="58"/>
  <c r="BF13" i="58"/>
  <c r="BE13" i="58"/>
  <c r="BD13" i="58"/>
  <c r="BC13" i="58"/>
  <c r="BB13" i="58"/>
  <c r="BA13" i="58"/>
  <c r="AZ13" i="58"/>
  <c r="AY13" i="58"/>
  <c r="AX13" i="58"/>
  <c r="AW13" i="58"/>
  <c r="AV13" i="58"/>
  <c r="AU13" i="58"/>
  <c r="AT13" i="58"/>
  <c r="AS13" i="58"/>
  <c r="AR13" i="58"/>
  <c r="AQ13" i="58"/>
  <c r="AP13" i="58"/>
  <c r="AO13" i="58"/>
  <c r="AN13" i="58"/>
  <c r="AM13" i="58"/>
  <c r="AL13" i="58"/>
  <c r="AK13" i="58"/>
  <c r="AJ13" i="58"/>
  <c r="AI13" i="58"/>
  <c r="AH13" i="58"/>
  <c r="AG13" i="58"/>
  <c r="AF13" i="58"/>
  <c r="AE13" i="58"/>
  <c r="AD13" i="58"/>
  <c r="AC13" i="58"/>
  <c r="AB13" i="58"/>
  <c r="AA13" i="58"/>
  <c r="Z13" i="58"/>
  <c r="Y13" i="58"/>
  <c r="X13" i="58"/>
  <c r="W13" i="58"/>
  <c r="V13" i="58"/>
  <c r="U13" i="58"/>
  <c r="T13" i="58"/>
  <c r="S13" i="58"/>
  <c r="R13" i="58"/>
  <c r="Q13" i="58"/>
  <c r="P13" i="58"/>
  <c r="O13" i="58"/>
  <c r="N13" i="58"/>
  <c r="M13" i="58"/>
  <c r="L13" i="58"/>
  <c r="K13" i="58"/>
  <c r="J13" i="58"/>
  <c r="I13" i="58"/>
  <c r="H13" i="58"/>
  <c r="G13" i="58"/>
  <c r="F13" i="58"/>
  <c r="E13" i="58"/>
  <c r="D13" i="58"/>
  <c r="C13" i="58"/>
  <c r="BG9" i="58"/>
  <c r="BF9" i="58"/>
  <c r="BE9" i="58"/>
  <c r="BD9" i="58"/>
  <c r="BC9" i="58"/>
  <c r="BB9" i="58"/>
  <c r="BA9" i="58"/>
  <c r="AZ9" i="58"/>
  <c r="AY9" i="58"/>
  <c r="AX9" i="58"/>
  <c r="AW9" i="58"/>
  <c r="AV9" i="58"/>
  <c r="AU9" i="58"/>
  <c r="AT9" i="58"/>
  <c r="AS9" i="58"/>
  <c r="AR9" i="58"/>
  <c r="AQ9" i="58"/>
  <c r="AP9" i="58"/>
  <c r="AO9" i="58"/>
  <c r="AN9" i="58"/>
  <c r="AM9" i="58"/>
  <c r="AL9" i="58"/>
  <c r="AK9" i="58"/>
  <c r="AJ9" i="58"/>
  <c r="AI9" i="58"/>
  <c r="AH9" i="58"/>
  <c r="AG9" i="58"/>
  <c r="AF9" i="58"/>
  <c r="AE9" i="58"/>
  <c r="AD9" i="58"/>
  <c r="AC9" i="58"/>
  <c r="AB9" i="58"/>
  <c r="AA9" i="58"/>
  <c r="Z9" i="58"/>
  <c r="Y9" i="58"/>
  <c r="X9" i="58"/>
  <c r="W9" i="58"/>
  <c r="V9" i="58"/>
  <c r="U9" i="58"/>
  <c r="T9" i="58"/>
  <c r="S9" i="58"/>
  <c r="R9" i="58"/>
  <c r="Q9" i="58"/>
  <c r="P9" i="58"/>
  <c r="O9" i="58"/>
  <c r="N9" i="58"/>
  <c r="C112" i="2"/>
  <c r="C111" i="2"/>
  <c r="E115" i="56"/>
  <c r="C118" i="56"/>
  <c r="C114" i="56"/>
  <c r="C111" i="56"/>
  <c r="C115" i="56"/>
  <c r="C112" i="56"/>
  <c r="C116" i="56"/>
  <c r="C113" i="56"/>
  <c r="C117" i="56"/>
  <c r="F129" i="2"/>
  <c r="F128" i="2"/>
  <c r="F127" i="2"/>
  <c r="F126" i="2"/>
  <c r="F125" i="2"/>
  <c r="F124" i="2"/>
  <c r="F123" i="2"/>
  <c r="G128" i="57"/>
  <c r="G127" i="57"/>
  <c r="G128" i="2" s="1"/>
  <c r="G126" i="57"/>
  <c r="G125" i="57"/>
  <c r="G124" i="57"/>
  <c r="G123" i="57"/>
  <c r="G122" i="57"/>
  <c r="F129" i="57"/>
  <c r="F130" i="2" s="1"/>
  <c r="D129" i="57"/>
  <c r="E129" i="57" s="1"/>
  <c r="B129" i="57"/>
  <c r="C129" i="57" s="1"/>
  <c r="G129" i="56"/>
  <c r="G128" i="56"/>
  <c r="G127" i="56"/>
  <c r="G126" i="56"/>
  <c r="G125" i="56"/>
  <c r="G124" i="56"/>
  <c r="G123" i="56"/>
  <c r="F130" i="56"/>
  <c r="D130" i="56"/>
  <c r="E128" i="56" s="1"/>
  <c r="B130" i="56"/>
  <c r="C129" i="56"/>
  <c r="E122" i="57"/>
  <c r="E126" i="57"/>
  <c r="C126" i="56"/>
  <c r="G127" i="2"/>
  <c r="C125" i="57"/>
  <c r="C124" i="57"/>
  <c r="C126" i="57"/>
  <c r="C124" i="56"/>
  <c r="C128" i="56"/>
  <c r="C125" i="56"/>
  <c r="BF28" i="1"/>
  <c r="BE28" i="1"/>
  <c r="BE27" i="1"/>
  <c r="BF17" i="1"/>
  <c r="BE17" i="1"/>
  <c r="BF16" i="1"/>
  <c r="BE16" i="1"/>
  <c r="BF15" i="1"/>
  <c r="BE15" i="1"/>
  <c r="BF14" i="1"/>
  <c r="BE14" i="1"/>
  <c r="BF13" i="1"/>
  <c r="BE13" i="1"/>
  <c r="BF9" i="1"/>
  <c r="BE9" i="1"/>
  <c r="BF34" i="1"/>
  <c r="BF31" i="1"/>
  <c r="BF18" i="1"/>
  <c r="BF27" i="1" s="1"/>
  <c r="E136" i="2"/>
  <c r="E138" i="2"/>
  <c r="E140" i="2"/>
  <c r="F142" i="56"/>
  <c r="D142" i="56"/>
  <c r="E140" i="56" s="1"/>
  <c r="B142" i="56"/>
  <c r="C135" i="56" s="1"/>
  <c r="G141" i="56"/>
  <c r="G140" i="56"/>
  <c r="G139" i="56"/>
  <c r="G138" i="56"/>
  <c r="G137" i="56"/>
  <c r="G136" i="56"/>
  <c r="G135" i="56"/>
  <c r="E142" i="2"/>
  <c r="E135" i="2"/>
  <c r="E139" i="2"/>
  <c r="E137" i="2"/>
  <c r="E141" i="2"/>
  <c r="C140" i="2"/>
  <c r="C137" i="2"/>
  <c r="C141" i="2"/>
  <c r="C138" i="2"/>
  <c r="C142" i="2"/>
  <c r="C135" i="2"/>
  <c r="C139" i="2"/>
  <c r="C136" i="2"/>
  <c r="E138" i="56"/>
  <c r="E136" i="56"/>
  <c r="E137" i="56"/>
  <c r="C139" i="56"/>
  <c r="H135" i="2"/>
  <c r="H139" i="2"/>
  <c r="H137" i="2"/>
  <c r="H136" i="2"/>
  <c r="H138" i="2"/>
  <c r="H140" i="2"/>
  <c r="H142" i="2"/>
  <c r="H141" i="2"/>
  <c r="F141" i="57"/>
  <c r="D141" i="57"/>
  <c r="E141" i="57"/>
  <c r="B141" i="57"/>
  <c r="G140" i="57"/>
  <c r="G139" i="57"/>
  <c r="G138" i="57"/>
  <c r="G137" i="57"/>
  <c r="G136" i="57"/>
  <c r="G135" i="57"/>
  <c r="G134" i="57"/>
  <c r="E138" i="57"/>
  <c r="E140" i="57"/>
  <c r="E137" i="57"/>
  <c r="G148" i="2"/>
  <c r="G149" i="2"/>
  <c r="G150" i="2"/>
  <c r="G151" i="2"/>
  <c r="G152" i="2"/>
  <c r="G153" i="2"/>
  <c r="G147" i="2"/>
  <c r="D154" i="2"/>
  <c r="B154" i="2"/>
  <c r="C151" i="2" s="1"/>
  <c r="C153" i="2"/>
  <c r="C150" i="2"/>
  <c r="H159" i="2"/>
  <c r="H160" i="2"/>
  <c r="H161" i="2"/>
  <c r="H162" i="2"/>
  <c r="H163" i="2"/>
  <c r="H164" i="2"/>
  <c r="H165" i="2"/>
  <c r="H166" i="2"/>
  <c r="C152" i="2"/>
  <c r="E166" i="2"/>
  <c r="E165" i="2"/>
  <c r="E164" i="2"/>
  <c r="E163" i="2"/>
  <c r="E162" i="2"/>
  <c r="E161" i="2"/>
  <c r="E160" i="2"/>
  <c r="E159" i="2"/>
  <c r="C166" i="2"/>
  <c r="C165" i="2"/>
  <c r="C164" i="2"/>
  <c r="C163" i="2"/>
  <c r="C162" i="2"/>
  <c r="C161" i="2"/>
  <c r="C160" i="2"/>
  <c r="C159" i="2"/>
  <c r="B171" i="2"/>
  <c r="F154" i="56"/>
  <c r="F153" i="57"/>
  <c r="B153" i="57"/>
  <c r="C150" i="57" s="1"/>
  <c r="D153" i="57"/>
  <c r="E147" i="57" s="1"/>
  <c r="G152" i="57"/>
  <c r="G151" i="57"/>
  <c r="G150" i="57"/>
  <c r="G149" i="57"/>
  <c r="G148" i="57"/>
  <c r="G147" i="57"/>
  <c r="G146" i="57"/>
  <c r="D154" i="56"/>
  <c r="E154" i="56" s="1"/>
  <c r="B154" i="56"/>
  <c r="G153" i="56"/>
  <c r="G152" i="56"/>
  <c r="G151" i="56"/>
  <c r="G150" i="56"/>
  <c r="G149" i="56"/>
  <c r="G148" i="56"/>
  <c r="G147" i="56"/>
  <c r="C154" i="56"/>
  <c r="E152" i="56"/>
  <c r="E153" i="56"/>
  <c r="C154" i="2"/>
  <c r="C152" i="57"/>
  <c r="C147" i="57"/>
  <c r="C151" i="57"/>
  <c r="F174" i="57"/>
  <c r="D174" i="57"/>
  <c r="B174" i="57"/>
  <c r="C170" i="57" s="1"/>
  <c r="C174" i="57"/>
  <c r="G173" i="57"/>
  <c r="G172" i="57"/>
  <c r="G174" i="57" s="1"/>
  <c r="H172" i="57" s="1"/>
  <c r="G171" i="57"/>
  <c r="G170" i="57"/>
  <c r="G169" i="57"/>
  <c r="F175" i="56"/>
  <c r="D175" i="56"/>
  <c r="E171" i="56" s="1"/>
  <c r="E175" i="56"/>
  <c r="B175" i="56"/>
  <c r="G174" i="56"/>
  <c r="G173" i="56"/>
  <c r="E173" i="56"/>
  <c r="G172" i="56"/>
  <c r="G171" i="56"/>
  <c r="G170" i="56"/>
  <c r="C172" i="57"/>
  <c r="E172" i="56"/>
  <c r="C169" i="57"/>
  <c r="C171" i="57"/>
  <c r="E170" i="56"/>
  <c r="E174" i="56"/>
  <c r="C175" i="56"/>
  <c r="BD9" i="1"/>
  <c r="BC9" i="1"/>
  <c r="BB9" i="1"/>
  <c r="BA9" i="1"/>
  <c r="AZ9" i="1"/>
  <c r="BD17" i="1"/>
  <c r="BD16" i="1"/>
  <c r="BD15" i="1"/>
  <c r="BD14" i="1"/>
  <c r="BD13" i="1"/>
  <c r="BC17" i="1"/>
  <c r="BC16" i="1"/>
  <c r="BC15" i="1"/>
  <c r="BC14" i="1"/>
  <c r="BC13" i="1"/>
  <c r="BB17" i="1"/>
  <c r="BB16" i="1"/>
  <c r="BB15" i="1"/>
  <c r="BB14" i="1"/>
  <c r="BB13" i="1"/>
  <c r="BA17" i="1"/>
  <c r="BA16" i="1"/>
  <c r="BA15" i="1"/>
  <c r="BA14" i="1"/>
  <c r="BA13" i="1"/>
  <c r="AZ17" i="1"/>
  <c r="AZ16" i="1"/>
  <c r="AZ15" i="1"/>
  <c r="AZ14" i="1"/>
  <c r="AZ13" i="1"/>
  <c r="F220" i="57"/>
  <c r="D220" i="57"/>
  <c r="E218" i="57" s="1"/>
  <c r="E215" i="57"/>
  <c r="B220" i="57"/>
  <c r="C220" i="57" s="1"/>
  <c r="G219" i="57"/>
  <c r="G218" i="57"/>
  <c r="G217" i="57"/>
  <c r="G216" i="57"/>
  <c r="G215" i="57"/>
  <c r="F211" i="57"/>
  <c r="D211" i="57"/>
  <c r="B211" i="57"/>
  <c r="C207" i="57"/>
  <c r="G210" i="57"/>
  <c r="G209" i="57"/>
  <c r="G211" i="57" s="1"/>
  <c r="H209" i="57" s="1"/>
  <c r="G208" i="57"/>
  <c r="G207" i="57"/>
  <c r="G206" i="57"/>
  <c r="F202" i="57"/>
  <c r="D202" i="57"/>
  <c r="E201" i="57"/>
  <c r="B202" i="57"/>
  <c r="C200" i="57" s="1"/>
  <c r="G201" i="57"/>
  <c r="G200" i="57"/>
  <c r="G199" i="57"/>
  <c r="G198" i="57"/>
  <c r="G197" i="57"/>
  <c r="G202" i="57" s="1"/>
  <c r="F192" i="57"/>
  <c r="D192" i="57"/>
  <c r="E191" i="57" s="1"/>
  <c r="B192" i="57"/>
  <c r="G191" i="57"/>
  <c r="G190" i="57"/>
  <c r="G189" i="57"/>
  <c r="G188" i="57"/>
  <c r="G187" i="57"/>
  <c r="F183" i="57"/>
  <c r="D183" i="57"/>
  <c r="B183" i="57"/>
  <c r="C183" i="57"/>
  <c r="G182" i="57"/>
  <c r="G181" i="57"/>
  <c r="G180" i="57"/>
  <c r="C180" i="57"/>
  <c r="G179" i="57"/>
  <c r="G178" i="57"/>
  <c r="C178" i="57"/>
  <c r="F165" i="57"/>
  <c r="D165" i="57"/>
  <c r="E159" i="57" s="1"/>
  <c r="B165" i="57"/>
  <c r="C163" i="57" s="1"/>
  <c r="G164" i="57"/>
  <c r="G163" i="57"/>
  <c r="G162" i="57"/>
  <c r="G161" i="57"/>
  <c r="G160" i="57"/>
  <c r="G159" i="57"/>
  <c r="G158" i="57"/>
  <c r="F712" i="56"/>
  <c r="D712" i="56"/>
  <c r="B712" i="56"/>
  <c r="C711" i="56" s="1"/>
  <c r="C710" i="56"/>
  <c r="G711" i="56"/>
  <c r="G710" i="56"/>
  <c r="G709" i="56"/>
  <c r="G708" i="56"/>
  <c r="G707" i="56"/>
  <c r="D702" i="56"/>
  <c r="B702" i="56"/>
  <c r="C698" i="56" s="1"/>
  <c r="G701" i="56"/>
  <c r="G700" i="56"/>
  <c r="G699" i="56"/>
  <c r="F699" i="56"/>
  <c r="G698" i="56"/>
  <c r="F698" i="56"/>
  <c r="G697" i="56"/>
  <c r="F692" i="56"/>
  <c r="D692" i="56"/>
  <c r="E692" i="56" s="1"/>
  <c r="B692" i="56"/>
  <c r="C688" i="56" s="1"/>
  <c r="G691" i="56"/>
  <c r="G690" i="56"/>
  <c r="G689" i="56"/>
  <c r="G688" i="56"/>
  <c r="G692" i="56" s="1"/>
  <c r="G687" i="56"/>
  <c r="D682" i="56"/>
  <c r="B682" i="56"/>
  <c r="G681" i="56"/>
  <c r="F681" i="56"/>
  <c r="G680" i="56"/>
  <c r="F680" i="56"/>
  <c r="G679" i="56"/>
  <c r="F679" i="56"/>
  <c r="G678" i="56"/>
  <c r="F678" i="56"/>
  <c r="G677" i="56"/>
  <c r="F677" i="56"/>
  <c r="F672" i="56"/>
  <c r="B672" i="56"/>
  <c r="D671" i="56"/>
  <c r="D672" i="56" s="1"/>
  <c r="E667" i="56" s="1"/>
  <c r="G670" i="56"/>
  <c r="G669" i="56"/>
  <c r="G668" i="56"/>
  <c r="G672" i="56" s="1"/>
  <c r="G667" i="56"/>
  <c r="B662" i="56"/>
  <c r="F661" i="56"/>
  <c r="F662" i="56"/>
  <c r="D661" i="56"/>
  <c r="G660" i="56"/>
  <c r="G659" i="56"/>
  <c r="G658" i="56"/>
  <c r="G657" i="56"/>
  <c r="F652" i="56"/>
  <c r="D652" i="56"/>
  <c r="E648" i="56" s="1"/>
  <c r="E652" i="56"/>
  <c r="B652" i="56"/>
  <c r="G651" i="56"/>
  <c r="G650" i="56"/>
  <c r="E650" i="56"/>
  <c r="G649" i="56"/>
  <c r="G648" i="56"/>
  <c r="G647" i="56"/>
  <c r="D642" i="56"/>
  <c r="B642" i="56"/>
  <c r="G641" i="56"/>
  <c r="F641" i="56"/>
  <c r="G640" i="56"/>
  <c r="F640" i="56"/>
  <c r="G639" i="56"/>
  <c r="F639" i="56"/>
  <c r="G638" i="56"/>
  <c r="F638" i="56"/>
  <c r="F642" i="56" s="1"/>
  <c r="G637" i="56"/>
  <c r="F637" i="56"/>
  <c r="D632" i="56"/>
  <c r="E630" i="56" s="1"/>
  <c r="B632" i="56"/>
  <c r="C628" i="56" s="1"/>
  <c r="G631" i="56"/>
  <c r="F631" i="56"/>
  <c r="G630" i="56"/>
  <c r="F630" i="56"/>
  <c r="G629" i="56"/>
  <c r="F629" i="56"/>
  <c r="G628" i="56"/>
  <c r="F628" i="56"/>
  <c r="G627" i="56"/>
  <c r="F627" i="56"/>
  <c r="D622" i="56"/>
  <c r="B622" i="56"/>
  <c r="G621" i="56"/>
  <c r="F621" i="56"/>
  <c r="G620" i="56"/>
  <c r="G619" i="56"/>
  <c r="F619" i="56"/>
  <c r="G618" i="56"/>
  <c r="F618" i="56"/>
  <c r="G617" i="56"/>
  <c r="F617" i="56"/>
  <c r="D612" i="56"/>
  <c r="E612" i="56" s="1"/>
  <c r="B612" i="56"/>
  <c r="C608" i="56" s="1"/>
  <c r="G611" i="56"/>
  <c r="F611" i="56"/>
  <c r="G610" i="56"/>
  <c r="F610" i="56"/>
  <c r="G609" i="56"/>
  <c r="F609" i="56"/>
  <c r="G608" i="56"/>
  <c r="F608" i="56"/>
  <c r="G607" i="56"/>
  <c r="F607" i="56"/>
  <c r="D602" i="56"/>
  <c r="E598" i="56" s="1"/>
  <c r="B602" i="56"/>
  <c r="C598" i="56" s="1"/>
  <c r="G601" i="56"/>
  <c r="F601" i="56"/>
  <c r="G600" i="56"/>
  <c r="F600" i="56"/>
  <c r="G599" i="56"/>
  <c r="F599" i="56"/>
  <c r="G598" i="56"/>
  <c r="F598" i="56"/>
  <c r="G597" i="56"/>
  <c r="F597" i="56"/>
  <c r="D592" i="56"/>
  <c r="E587" i="56" s="1"/>
  <c r="B592" i="56"/>
  <c r="C588" i="56" s="1"/>
  <c r="G591" i="56"/>
  <c r="F591" i="56"/>
  <c r="G590" i="56"/>
  <c r="F590" i="56"/>
  <c r="G589" i="56"/>
  <c r="F589" i="56"/>
  <c r="G588" i="56"/>
  <c r="F588" i="56"/>
  <c r="G587" i="56"/>
  <c r="F587" i="56"/>
  <c r="D582" i="56"/>
  <c r="E582" i="56" s="1"/>
  <c r="B582" i="56"/>
  <c r="G581" i="56"/>
  <c r="F581" i="56"/>
  <c r="G580" i="56"/>
  <c r="F580" i="56"/>
  <c r="G579" i="56"/>
  <c r="F579" i="56"/>
  <c r="G578" i="56"/>
  <c r="F578" i="56"/>
  <c r="G577" i="56"/>
  <c r="F577" i="56"/>
  <c r="D572" i="56"/>
  <c r="B572" i="56"/>
  <c r="C572" i="56" s="1"/>
  <c r="G571" i="56"/>
  <c r="F571" i="56"/>
  <c r="G570" i="56"/>
  <c r="F570" i="56"/>
  <c r="G569" i="56"/>
  <c r="F569" i="56"/>
  <c r="G568" i="56"/>
  <c r="G572" i="56" s="1"/>
  <c r="H569" i="56" s="1"/>
  <c r="F568" i="56"/>
  <c r="G567" i="56"/>
  <c r="F567" i="56"/>
  <c r="D562" i="56"/>
  <c r="E560" i="56" s="1"/>
  <c r="B562" i="56"/>
  <c r="C559" i="56" s="1"/>
  <c r="G561" i="56"/>
  <c r="F561" i="56"/>
  <c r="G560" i="56"/>
  <c r="F560" i="56"/>
  <c r="G559" i="56"/>
  <c r="F559" i="56"/>
  <c r="G558" i="56"/>
  <c r="G562" i="56" s="1"/>
  <c r="F558" i="56"/>
  <c r="G557" i="56"/>
  <c r="F557" i="56"/>
  <c r="D552" i="56"/>
  <c r="B552" i="56"/>
  <c r="G551" i="56"/>
  <c r="F551" i="56"/>
  <c r="G550" i="56"/>
  <c r="F550" i="56"/>
  <c r="G549" i="56"/>
  <c r="F549" i="56"/>
  <c r="G548" i="56"/>
  <c r="F548" i="56"/>
  <c r="G547" i="56"/>
  <c r="F547" i="56"/>
  <c r="D542" i="56"/>
  <c r="E540" i="56" s="1"/>
  <c r="B542" i="56"/>
  <c r="G541" i="56"/>
  <c r="F541" i="56"/>
  <c r="G540" i="56"/>
  <c r="F540" i="56"/>
  <c r="G539" i="56"/>
  <c r="F539" i="56"/>
  <c r="G538" i="56"/>
  <c r="F538" i="56"/>
  <c r="F542" i="56" s="1"/>
  <c r="G537" i="56"/>
  <c r="F537" i="56"/>
  <c r="D532" i="56"/>
  <c r="E531" i="56" s="1"/>
  <c r="B532" i="56"/>
  <c r="C530" i="56"/>
  <c r="G531" i="56"/>
  <c r="F531" i="56"/>
  <c r="G530" i="56"/>
  <c r="F530" i="56"/>
  <c r="G529" i="56"/>
  <c r="F529" i="56"/>
  <c r="G528" i="56"/>
  <c r="F528" i="56"/>
  <c r="G527" i="56"/>
  <c r="F527" i="56"/>
  <c r="F532" i="56" s="1"/>
  <c r="D522" i="56"/>
  <c r="E522" i="56"/>
  <c r="B522" i="56"/>
  <c r="G521" i="56"/>
  <c r="F521" i="56"/>
  <c r="G520" i="56"/>
  <c r="F520" i="56"/>
  <c r="G519" i="56"/>
  <c r="F519" i="56"/>
  <c r="G518" i="56"/>
  <c r="F518" i="56"/>
  <c r="F522" i="56" s="1"/>
  <c r="G517" i="56"/>
  <c r="G522" i="56" s="1"/>
  <c r="H522" i="56" s="1"/>
  <c r="F517" i="56"/>
  <c r="D512" i="56"/>
  <c r="E509" i="56" s="1"/>
  <c r="B512" i="56"/>
  <c r="C512" i="56"/>
  <c r="G511" i="56"/>
  <c r="F511" i="56"/>
  <c r="G510" i="56"/>
  <c r="F510" i="56"/>
  <c r="G509" i="56"/>
  <c r="F509" i="56"/>
  <c r="G508" i="56"/>
  <c r="F508" i="56"/>
  <c r="G507" i="56"/>
  <c r="G512" i="56" s="1"/>
  <c r="F507" i="56"/>
  <c r="D502" i="56"/>
  <c r="E497" i="56"/>
  <c r="B502" i="56"/>
  <c r="G501" i="56"/>
  <c r="F501" i="56"/>
  <c r="G500" i="56"/>
  <c r="F500" i="56"/>
  <c r="G499" i="56"/>
  <c r="F499" i="56"/>
  <c r="G498" i="56"/>
  <c r="F498" i="56"/>
  <c r="F502" i="56" s="1"/>
  <c r="G497" i="56"/>
  <c r="F497" i="56"/>
  <c r="D492" i="56"/>
  <c r="B492" i="56"/>
  <c r="C490" i="56"/>
  <c r="G491" i="56"/>
  <c r="F491" i="56"/>
  <c r="G490" i="56"/>
  <c r="F490" i="56"/>
  <c r="G489" i="56"/>
  <c r="F489" i="56"/>
  <c r="G488" i="56"/>
  <c r="F488" i="56"/>
  <c r="G487" i="56"/>
  <c r="G492" i="56" s="1"/>
  <c r="H488" i="56" s="1"/>
  <c r="F487" i="56"/>
  <c r="F492" i="56" s="1"/>
  <c r="D482" i="56"/>
  <c r="E482" i="56"/>
  <c r="B482" i="56"/>
  <c r="G481" i="56"/>
  <c r="H481" i="56" s="1"/>
  <c r="F481" i="56"/>
  <c r="G480" i="56"/>
  <c r="F480" i="56"/>
  <c r="G479" i="56"/>
  <c r="F479" i="56"/>
  <c r="G478" i="56"/>
  <c r="F478" i="56"/>
  <c r="F482" i="56" s="1"/>
  <c r="G477" i="56"/>
  <c r="G482" i="56" s="1"/>
  <c r="F477" i="56"/>
  <c r="D473" i="56"/>
  <c r="B473" i="56"/>
  <c r="C470" i="56"/>
  <c r="G472" i="56"/>
  <c r="F472" i="56"/>
  <c r="G471" i="56"/>
  <c r="F471" i="56"/>
  <c r="G470" i="56"/>
  <c r="F470" i="56"/>
  <c r="G469" i="56"/>
  <c r="F469" i="56"/>
  <c r="G468" i="56"/>
  <c r="F468" i="56"/>
  <c r="D463" i="56"/>
  <c r="E463" i="56"/>
  <c r="B463" i="56"/>
  <c r="G462" i="56"/>
  <c r="F462" i="56"/>
  <c r="E462" i="56"/>
  <c r="G461" i="56"/>
  <c r="F461" i="56"/>
  <c r="G460" i="56"/>
  <c r="F460" i="56"/>
  <c r="G459" i="56"/>
  <c r="F459" i="56"/>
  <c r="E459" i="56"/>
  <c r="G458" i="56"/>
  <c r="F458" i="56"/>
  <c r="D453" i="56"/>
  <c r="B453" i="56"/>
  <c r="G452" i="56"/>
  <c r="F452" i="56"/>
  <c r="G451" i="56"/>
  <c r="F451" i="56"/>
  <c r="G450" i="56"/>
  <c r="F450" i="56"/>
  <c r="G449" i="56"/>
  <c r="F449" i="56"/>
  <c r="G448" i="56"/>
  <c r="G453" i="56" s="1"/>
  <c r="F448" i="56"/>
  <c r="F453" i="56" s="1"/>
  <c r="D443" i="56"/>
  <c r="B443" i="56"/>
  <c r="C443" i="56"/>
  <c r="G442" i="56"/>
  <c r="F442" i="56"/>
  <c r="G441" i="56"/>
  <c r="F441" i="56"/>
  <c r="G440" i="56"/>
  <c r="F440" i="56"/>
  <c r="G439" i="56"/>
  <c r="F439" i="56"/>
  <c r="F443" i="56" s="1"/>
  <c r="G438" i="56"/>
  <c r="G443" i="56" s="1"/>
  <c r="F438" i="56"/>
  <c r="D433" i="56"/>
  <c r="E432" i="56" s="1"/>
  <c r="E433" i="56"/>
  <c r="B433" i="56"/>
  <c r="G432" i="56"/>
  <c r="F432" i="56"/>
  <c r="G431" i="56"/>
  <c r="F431" i="56"/>
  <c r="G430" i="56"/>
  <c r="F430" i="56"/>
  <c r="G429" i="56"/>
  <c r="F429" i="56"/>
  <c r="G428" i="56"/>
  <c r="F428" i="56"/>
  <c r="D423" i="56"/>
  <c r="F422" i="56"/>
  <c r="B422" i="56"/>
  <c r="G421" i="56"/>
  <c r="F421" i="56"/>
  <c r="G420" i="56"/>
  <c r="F420" i="56"/>
  <c r="G419" i="56"/>
  <c r="F419" i="56"/>
  <c r="G418" i="56"/>
  <c r="F418" i="56"/>
  <c r="D413" i="56"/>
  <c r="B413" i="56"/>
  <c r="C410" i="56" s="1"/>
  <c r="G412" i="56"/>
  <c r="F412" i="56"/>
  <c r="G411" i="56"/>
  <c r="F411" i="56"/>
  <c r="G410" i="56"/>
  <c r="F410" i="56"/>
  <c r="G409" i="56"/>
  <c r="F409" i="56"/>
  <c r="F413" i="56" s="1"/>
  <c r="G408" i="56"/>
  <c r="F408" i="56"/>
  <c r="D403" i="56"/>
  <c r="B403" i="56"/>
  <c r="G402" i="56"/>
  <c r="F402" i="56"/>
  <c r="G401" i="56"/>
  <c r="F401" i="56"/>
  <c r="G400" i="56"/>
  <c r="F400" i="56"/>
  <c r="G399" i="56"/>
  <c r="F399" i="56"/>
  <c r="G398" i="56"/>
  <c r="F398" i="56"/>
  <c r="D393" i="56"/>
  <c r="E389" i="56"/>
  <c r="B393" i="56"/>
  <c r="C388" i="56" s="1"/>
  <c r="G392" i="56"/>
  <c r="F392" i="56"/>
  <c r="G391" i="56"/>
  <c r="F391" i="56"/>
  <c r="G390" i="56"/>
  <c r="F390" i="56"/>
  <c r="G389" i="56"/>
  <c r="F389" i="56"/>
  <c r="G388" i="56"/>
  <c r="F388" i="56"/>
  <c r="D383" i="56"/>
  <c r="E381" i="56" s="1"/>
  <c r="B383" i="56"/>
  <c r="G382" i="56"/>
  <c r="F382" i="56"/>
  <c r="G381" i="56"/>
  <c r="F381" i="56"/>
  <c r="G380" i="56"/>
  <c r="F380" i="56"/>
  <c r="G379" i="56"/>
  <c r="F379" i="56"/>
  <c r="G378" i="56"/>
  <c r="F378" i="56"/>
  <c r="F383" i="56" s="1"/>
  <c r="D373" i="56"/>
  <c r="B373" i="56"/>
  <c r="G372" i="56"/>
  <c r="F372" i="56"/>
  <c r="G371" i="56"/>
  <c r="F371" i="56"/>
  <c r="G370" i="56"/>
  <c r="F370" i="56"/>
  <c r="G369" i="56"/>
  <c r="F369" i="56"/>
  <c r="F373" i="56" s="1"/>
  <c r="G368" i="56"/>
  <c r="F368" i="56"/>
  <c r="D363" i="56"/>
  <c r="B363" i="56"/>
  <c r="C361" i="56" s="1"/>
  <c r="G362" i="56"/>
  <c r="F362" i="56"/>
  <c r="G361" i="56"/>
  <c r="F361" i="56"/>
  <c r="G360" i="56"/>
  <c r="F360" i="56"/>
  <c r="G359" i="56"/>
  <c r="F359" i="56"/>
  <c r="F363" i="56" s="1"/>
  <c r="G358" i="56"/>
  <c r="F358" i="56"/>
  <c r="F353" i="56"/>
  <c r="D353" i="56"/>
  <c r="B353" i="56"/>
  <c r="G352" i="56"/>
  <c r="G351" i="56"/>
  <c r="G350" i="56"/>
  <c r="G349" i="56"/>
  <c r="G348" i="56"/>
  <c r="D343" i="56"/>
  <c r="B343" i="56"/>
  <c r="C343" i="56" s="1"/>
  <c r="G342" i="56"/>
  <c r="F342" i="56"/>
  <c r="G341" i="56"/>
  <c r="F341" i="56"/>
  <c r="G340" i="56"/>
  <c r="F340" i="56"/>
  <c r="G339" i="56"/>
  <c r="F339" i="56"/>
  <c r="F343" i="56" s="1"/>
  <c r="G338" i="56"/>
  <c r="F338" i="56"/>
  <c r="D333" i="56"/>
  <c r="B333" i="56"/>
  <c r="G332" i="56"/>
  <c r="F332" i="56"/>
  <c r="G331" i="56"/>
  <c r="F331" i="56"/>
  <c r="G330" i="56"/>
  <c r="F330" i="56"/>
  <c r="G329" i="56"/>
  <c r="F329" i="56"/>
  <c r="G328" i="56"/>
  <c r="F328" i="56"/>
  <c r="D323" i="56"/>
  <c r="F322" i="56"/>
  <c r="B322" i="56"/>
  <c r="G321" i="56"/>
  <c r="F321" i="56"/>
  <c r="G320" i="56"/>
  <c r="F320" i="56"/>
  <c r="G319" i="56"/>
  <c r="F319" i="56"/>
  <c r="G318" i="56"/>
  <c r="F318" i="56"/>
  <c r="D313" i="56"/>
  <c r="B313" i="56"/>
  <c r="G312" i="56"/>
  <c r="F312" i="56"/>
  <c r="G311" i="56"/>
  <c r="F311" i="56"/>
  <c r="G310" i="56"/>
  <c r="F310" i="56"/>
  <c r="G309" i="56"/>
  <c r="F309" i="56"/>
  <c r="F313" i="56" s="1"/>
  <c r="G308" i="56"/>
  <c r="F308" i="56"/>
  <c r="D293" i="56"/>
  <c r="E289" i="56" s="1"/>
  <c r="F292" i="56"/>
  <c r="B292" i="56"/>
  <c r="G291" i="56"/>
  <c r="F291" i="56"/>
  <c r="G290" i="56"/>
  <c r="F290" i="56"/>
  <c r="G289" i="56"/>
  <c r="F289" i="56"/>
  <c r="G288" i="56"/>
  <c r="F288" i="56"/>
  <c r="D283" i="56"/>
  <c r="E281" i="56" s="1"/>
  <c r="B283" i="56"/>
  <c r="C280" i="56" s="1"/>
  <c r="G282" i="56"/>
  <c r="F282" i="56"/>
  <c r="G281" i="56"/>
  <c r="F281" i="56"/>
  <c r="G280" i="56"/>
  <c r="F280" i="56"/>
  <c r="G279" i="56"/>
  <c r="F279" i="56"/>
  <c r="G278" i="56"/>
  <c r="F278" i="56"/>
  <c r="F283" i="56" s="1"/>
  <c r="F273" i="56"/>
  <c r="B273" i="56"/>
  <c r="G272" i="56"/>
  <c r="E272" i="56"/>
  <c r="G271" i="56"/>
  <c r="E271" i="56"/>
  <c r="G270" i="56"/>
  <c r="E270" i="56"/>
  <c r="G269" i="56"/>
  <c r="G273" i="56" s="1"/>
  <c r="E269" i="56"/>
  <c r="G268" i="56"/>
  <c r="E268" i="56"/>
  <c r="D263" i="56"/>
  <c r="B263" i="56"/>
  <c r="G262" i="56"/>
  <c r="F262" i="56"/>
  <c r="G261" i="56"/>
  <c r="F261" i="56"/>
  <c r="G260" i="56"/>
  <c r="F260" i="56"/>
  <c r="G259" i="56"/>
  <c r="F259" i="56"/>
  <c r="G258" i="56"/>
  <c r="G263" i="56" s="1"/>
  <c r="H258" i="56" s="1"/>
  <c r="F258" i="56"/>
  <c r="D252" i="56"/>
  <c r="B252" i="56"/>
  <c r="C247" i="56"/>
  <c r="G251" i="56"/>
  <c r="F251" i="56"/>
  <c r="G250" i="56"/>
  <c r="F250" i="56"/>
  <c r="G249" i="56"/>
  <c r="F249" i="56"/>
  <c r="G248" i="56"/>
  <c r="F248" i="56"/>
  <c r="G247" i="56"/>
  <c r="F247" i="56"/>
  <c r="D242" i="56"/>
  <c r="E239" i="56" s="1"/>
  <c r="B242" i="56"/>
  <c r="C242" i="56"/>
  <c r="G241" i="56"/>
  <c r="F241" i="56"/>
  <c r="G240" i="56"/>
  <c r="F240" i="56"/>
  <c r="G239" i="56"/>
  <c r="F239" i="56"/>
  <c r="G238" i="56"/>
  <c r="F238" i="56"/>
  <c r="G237" i="56"/>
  <c r="G242" i="56" s="1"/>
  <c r="H240" i="56" s="1"/>
  <c r="F237" i="56"/>
  <c r="D231" i="56"/>
  <c r="B231" i="56"/>
  <c r="G230" i="56"/>
  <c r="F230" i="56"/>
  <c r="G229" i="56"/>
  <c r="F229" i="56"/>
  <c r="F231" i="56" s="1"/>
  <c r="G228" i="56"/>
  <c r="F228" i="56"/>
  <c r="E228" i="56"/>
  <c r="G227" i="56"/>
  <c r="F227" i="56"/>
  <c r="G226" i="56"/>
  <c r="F226" i="56"/>
  <c r="B221" i="56"/>
  <c r="G220" i="56"/>
  <c r="F220" i="56"/>
  <c r="G219" i="56"/>
  <c r="F219" i="56"/>
  <c r="G218" i="56"/>
  <c r="F218" i="56"/>
  <c r="G217" i="56"/>
  <c r="F217" i="56"/>
  <c r="F216" i="56"/>
  <c r="D216" i="56"/>
  <c r="D221" i="56" s="1"/>
  <c r="E218" i="56" s="1"/>
  <c r="D211" i="56"/>
  <c r="E211" i="56"/>
  <c r="B211" i="56"/>
  <c r="C209" i="56" s="1"/>
  <c r="G210" i="56"/>
  <c r="F210" i="56"/>
  <c r="G209" i="56"/>
  <c r="F209" i="56"/>
  <c r="G208" i="56"/>
  <c r="F208" i="56"/>
  <c r="G207" i="56"/>
  <c r="G211" i="56" s="1"/>
  <c r="H209" i="56" s="1"/>
  <c r="F207" i="56"/>
  <c r="G206" i="56"/>
  <c r="F206" i="56"/>
  <c r="F202" i="56"/>
  <c r="D202" i="56"/>
  <c r="B202" i="56"/>
  <c r="G201" i="56"/>
  <c r="G200" i="56"/>
  <c r="G199" i="56"/>
  <c r="G198" i="56"/>
  <c r="G197" i="56"/>
  <c r="G202" i="56" s="1"/>
  <c r="F193" i="56"/>
  <c r="D193" i="56"/>
  <c r="B193" i="56"/>
  <c r="C193" i="56"/>
  <c r="G192" i="56"/>
  <c r="G191" i="56"/>
  <c r="G190" i="56"/>
  <c r="G189" i="56"/>
  <c r="G193" i="56" s="1"/>
  <c r="H191" i="56" s="1"/>
  <c r="G188" i="56"/>
  <c r="F184" i="56"/>
  <c r="D184" i="56"/>
  <c r="E184" i="56"/>
  <c r="B184" i="56"/>
  <c r="C182" i="56"/>
  <c r="G183" i="56"/>
  <c r="G182" i="56"/>
  <c r="G184" i="56" s="1"/>
  <c r="G181" i="56"/>
  <c r="G180" i="56"/>
  <c r="G179" i="56"/>
  <c r="F166" i="56"/>
  <c r="D166" i="56"/>
  <c r="B166" i="56"/>
  <c r="G165" i="56"/>
  <c r="G164" i="56"/>
  <c r="H164" i="56" s="1"/>
  <c r="G163" i="56"/>
  <c r="G162" i="56"/>
  <c r="G161" i="56"/>
  <c r="G160" i="56"/>
  <c r="G159" i="56"/>
  <c r="E410" i="56"/>
  <c r="E199" i="57"/>
  <c r="C215" i="57"/>
  <c r="E460" i="56"/>
  <c r="C218" i="57"/>
  <c r="E160" i="57"/>
  <c r="C216" i="57"/>
  <c r="E163" i="57"/>
  <c r="C199" i="57"/>
  <c r="E161" i="56"/>
  <c r="C198" i="57"/>
  <c r="C197" i="57"/>
  <c r="E198" i="57"/>
  <c r="C201" i="57"/>
  <c r="C179" i="57"/>
  <c r="C181" i="57"/>
  <c r="C217" i="57"/>
  <c r="C219" i="57"/>
  <c r="E537" i="56"/>
  <c r="E449" i="56"/>
  <c r="E480" i="56"/>
  <c r="E591" i="56"/>
  <c r="E577" i="56"/>
  <c r="E578" i="56"/>
  <c r="E579" i="56"/>
  <c r="E481" i="56"/>
  <c r="E450" i="56"/>
  <c r="C258" i="56"/>
  <c r="C260" i="56"/>
  <c r="E610" i="56"/>
  <c r="C239" i="56"/>
  <c r="E570" i="56"/>
  <c r="C238" i="56"/>
  <c r="E688" i="56"/>
  <c r="E429" i="56"/>
  <c r="E501" i="56"/>
  <c r="E707" i="56"/>
  <c r="C531" i="56"/>
  <c r="E551" i="56"/>
  <c r="E180" i="56"/>
  <c r="E390" i="56"/>
  <c r="E428" i="56"/>
  <c r="E200" i="56"/>
  <c r="E611" i="56"/>
  <c r="E181" i="56"/>
  <c r="E498" i="56"/>
  <c r="E687" i="56"/>
  <c r="E691" i="56"/>
  <c r="E458" i="56"/>
  <c r="C541" i="56"/>
  <c r="C661" i="56"/>
  <c r="E689" i="56"/>
  <c r="E179" i="56"/>
  <c r="C181" i="56"/>
  <c r="C198" i="56"/>
  <c r="E209" i="56"/>
  <c r="H511" i="56"/>
  <c r="E609" i="56"/>
  <c r="C659" i="56"/>
  <c r="E210" i="56"/>
  <c r="E520" i="56"/>
  <c r="E521" i="56"/>
  <c r="E477" i="56"/>
  <c r="E479" i="56"/>
  <c r="C491" i="56"/>
  <c r="E519" i="56"/>
  <c r="C529" i="56"/>
  <c r="C709" i="56"/>
  <c r="C712" i="56"/>
  <c r="C237" i="56"/>
  <c r="C241" i="56"/>
  <c r="C487" i="56"/>
  <c r="C488" i="56"/>
  <c r="C489" i="56"/>
  <c r="C492" i="56"/>
  <c r="E518" i="56"/>
  <c r="E559" i="56"/>
  <c r="G602" i="56"/>
  <c r="F682" i="56"/>
  <c r="C708" i="56"/>
  <c r="C160" i="56"/>
  <c r="E478" i="56"/>
  <c r="C527" i="56"/>
  <c r="C528" i="56"/>
  <c r="C532" i="56"/>
  <c r="E159" i="56"/>
  <c r="C161" i="56"/>
  <c r="C240" i="56"/>
  <c r="E508" i="56"/>
  <c r="E517" i="56"/>
  <c r="C542" i="56"/>
  <c r="E580" i="56"/>
  <c r="E581" i="56"/>
  <c r="E589" i="56"/>
  <c r="E647" i="56"/>
  <c r="E651" i="56"/>
  <c r="E690" i="56"/>
  <c r="C707" i="56"/>
  <c r="E163" i="56"/>
  <c r="C279" i="56"/>
  <c r="C381" i="56"/>
  <c r="C380" i="56"/>
  <c r="C379" i="56"/>
  <c r="C383" i="56"/>
  <c r="C382" i="56"/>
  <c r="E160" i="56"/>
  <c r="E164" i="56"/>
  <c r="E208" i="56"/>
  <c r="C249" i="56"/>
  <c r="C309" i="56"/>
  <c r="C378" i="56"/>
  <c r="F393" i="56"/>
  <c r="C391" i="56"/>
  <c r="C390" i="56"/>
  <c r="C392" i="56"/>
  <c r="F433" i="56"/>
  <c r="E499" i="56"/>
  <c r="E502" i="56"/>
  <c r="E500" i="56"/>
  <c r="C510" i="56"/>
  <c r="C511" i="56"/>
  <c r="C509" i="56"/>
  <c r="C508" i="56"/>
  <c r="C507" i="56"/>
  <c r="C517" i="56"/>
  <c r="F552" i="56"/>
  <c r="E709" i="56"/>
  <c r="E710" i="56"/>
  <c r="C650" i="56"/>
  <c r="C652" i="56"/>
  <c r="C651" i="56"/>
  <c r="C647" i="56"/>
  <c r="E183" i="57"/>
  <c r="E179" i="57"/>
  <c r="E162" i="56"/>
  <c r="E165" i="56"/>
  <c r="C180" i="56"/>
  <c r="C183" i="56"/>
  <c r="C184" i="56"/>
  <c r="B323" i="56"/>
  <c r="G322" i="56"/>
  <c r="C460" i="56"/>
  <c r="C459" i="56"/>
  <c r="C550" i="56"/>
  <c r="C551" i="56"/>
  <c r="C548" i="56"/>
  <c r="C557" i="56"/>
  <c r="C649" i="56"/>
  <c r="E164" i="57"/>
  <c r="E161" i="57"/>
  <c r="E162" i="57"/>
  <c r="E158" i="57"/>
  <c r="G183" i="57"/>
  <c r="E182" i="57"/>
  <c r="C191" i="57"/>
  <c r="C189" i="57"/>
  <c r="C187" i="57"/>
  <c r="E220" i="57"/>
  <c r="E217" i="57"/>
  <c r="E362" i="56"/>
  <c r="C165" i="57"/>
  <c r="C179" i="56"/>
  <c r="C202" i="56"/>
  <c r="C197" i="56"/>
  <c r="E207" i="56"/>
  <c r="E206" i="56"/>
  <c r="C648" i="56"/>
  <c r="C158" i="57"/>
  <c r="C162" i="57"/>
  <c r="C190" i="57"/>
  <c r="E208" i="57"/>
  <c r="C182" i="57"/>
  <c r="G220" i="57"/>
  <c r="E192" i="57"/>
  <c r="E187" i="57"/>
  <c r="E188" i="57"/>
  <c r="E189" i="57"/>
  <c r="E190" i="57"/>
  <c r="E282" i="56"/>
  <c r="E227" i="56"/>
  <c r="E229" i="56"/>
  <c r="E230" i="56"/>
  <c r="E226" i="56"/>
  <c r="E231" i="56"/>
  <c r="E240" i="56"/>
  <c r="E252" i="56"/>
  <c r="E192" i="56"/>
  <c r="E189" i="56"/>
  <c r="G363" i="56"/>
  <c r="E670" i="56"/>
  <c r="G166" i="56"/>
  <c r="H159" i="56" s="1"/>
  <c r="H438" i="56"/>
  <c r="E361" i="56"/>
  <c r="E363" i="56"/>
  <c r="E392" i="56"/>
  <c r="E388" i="56"/>
  <c r="E393" i="56"/>
  <c r="E391" i="56"/>
  <c r="E403" i="56"/>
  <c r="E401" i="56"/>
  <c r="E408" i="56"/>
  <c r="E413" i="56"/>
  <c r="E411" i="56"/>
  <c r="C428" i="56"/>
  <c r="C431" i="56"/>
  <c r="C439" i="56"/>
  <c r="C472" i="56"/>
  <c r="C468" i="56"/>
  <c r="C471" i="56"/>
  <c r="G473" i="56"/>
  <c r="C500" i="56"/>
  <c r="C498" i="56"/>
  <c r="G582" i="56"/>
  <c r="G612" i="56"/>
  <c r="C452" i="56"/>
  <c r="C448" i="56"/>
  <c r="E668" i="56"/>
  <c r="E700" i="56"/>
  <c r="E698" i="56"/>
  <c r="C442" i="56"/>
  <c r="C438" i="56"/>
  <c r="C441" i="56"/>
  <c r="E358" i="56"/>
  <c r="C429" i="56"/>
  <c r="C440" i="56"/>
  <c r="C462" i="56"/>
  <c r="C458" i="56"/>
  <c r="C469" i="56"/>
  <c r="C473" i="56"/>
  <c r="C502" i="56"/>
  <c r="C622" i="56"/>
  <c r="C618" i="56"/>
  <c r="C619" i="56"/>
  <c r="C672" i="56"/>
  <c r="C671" i="56"/>
  <c r="C670" i="56"/>
  <c r="C669" i="56"/>
  <c r="C668" i="56"/>
  <c r="C667" i="56"/>
  <c r="C682" i="56"/>
  <c r="C679" i="56"/>
  <c r="C681" i="56"/>
  <c r="C677" i="56"/>
  <c r="C678" i="56"/>
  <c r="C680" i="56"/>
  <c r="C702" i="56"/>
  <c r="C697" i="56"/>
  <c r="C632" i="56"/>
  <c r="C629" i="56"/>
  <c r="C631" i="56"/>
  <c r="C627" i="56"/>
  <c r="E678" i="56"/>
  <c r="E682" i="56"/>
  <c r="E431" i="56"/>
  <c r="E461" i="56"/>
  <c r="C477" i="56"/>
  <c r="C482" i="56"/>
  <c r="C630" i="56"/>
  <c r="C642" i="56"/>
  <c r="C639" i="56"/>
  <c r="C641" i="56"/>
  <c r="C637" i="56"/>
  <c r="C658" i="56"/>
  <c r="C660" i="56"/>
  <c r="G671" i="56"/>
  <c r="H201" i="57"/>
  <c r="H562" i="56"/>
  <c r="H507" i="56"/>
  <c r="H200" i="57"/>
  <c r="H440" i="56"/>
  <c r="H612" i="56"/>
  <c r="H491" i="56"/>
  <c r="H473" i="56"/>
  <c r="H471" i="56"/>
  <c r="H241" i="56"/>
  <c r="H204" i="2"/>
  <c r="H203" i="2"/>
  <c r="H202" i="2"/>
  <c r="H201" i="2"/>
  <c r="H200" i="2"/>
  <c r="E194" i="2"/>
  <c r="E193" i="2"/>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Y34" i="1"/>
  <c r="AY31" i="1"/>
  <c r="E196" i="2"/>
  <c r="E192" i="2"/>
  <c r="E195" i="2"/>
  <c r="E191" i="2"/>
  <c r="BA34" i="1"/>
  <c r="BB34" i="1"/>
  <c r="BC34" i="1"/>
  <c r="BD34" i="1"/>
  <c r="BE34" i="1"/>
  <c r="AZ34" i="1"/>
  <c r="BE31" i="1"/>
  <c r="BA31" i="1"/>
  <c r="BB31" i="1"/>
  <c r="BC31" i="1"/>
  <c r="BD31" i="1"/>
  <c r="AZ31" i="1"/>
  <c r="E175" i="2"/>
  <c r="C177" i="2"/>
  <c r="C178" i="2"/>
  <c r="C176" i="2"/>
  <c r="C175" i="2"/>
  <c r="C174" i="2"/>
  <c r="C173" i="2"/>
  <c r="C172" i="2"/>
  <c r="C171" i="2"/>
  <c r="E177" i="2"/>
  <c r="E176" i="2"/>
  <c r="E174" i="2"/>
  <c r="E173" i="2"/>
  <c r="E172" i="2"/>
  <c r="E171" i="2"/>
  <c r="H178" i="2"/>
  <c r="H177" i="2"/>
  <c r="H174" i="2"/>
  <c r="H173" i="2"/>
  <c r="H171" i="2"/>
  <c r="H175" i="2"/>
  <c r="H172" i="2"/>
  <c r="H176" i="2"/>
  <c r="BD28" i="1"/>
  <c r="BD27" i="1"/>
  <c r="BC28" i="1"/>
  <c r="BC27" i="1"/>
  <c r="E184" i="2"/>
  <c r="C185" i="2"/>
  <c r="E187" i="2"/>
  <c r="E185" i="2"/>
  <c r="E182" i="2"/>
  <c r="E186" i="2"/>
  <c r="E183" i="2"/>
  <c r="C186" i="2"/>
  <c r="C182" i="2"/>
  <c r="C183" i="2"/>
  <c r="C187" i="2"/>
  <c r="C184" i="2"/>
  <c r="H186" i="2"/>
  <c r="H185" i="2"/>
  <c r="H184" i="2"/>
  <c r="H183" i="2"/>
  <c r="H187" i="2"/>
  <c r="H182" i="2"/>
  <c r="BB28" i="1"/>
  <c r="BB27" i="1"/>
  <c r="C194" i="2"/>
  <c r="C193" i="2"/>
  <c r="C196" i="2"/>
  <c r="C192" i="2"/>
  <c r="C195" i="2"/>
  <c r="C191" i="2"/>
  <c r="H192" i="2"/>
  <c r="H194" i="2"/>
  <c r="H193" i="2"/>
  <c r="H196" i="2"/>
  <c r="H195" i="2"/>
  <c r="H191" i="2"/>
  <c r="BA28" i="1"/>
  <c r="BA27" i="1"/>
  <c r="E203" i="2"/>
  <c r="C203" i="2"/>
  <c r="E200" i="2"/>
  <c r="E204" i="2"/>
  <c r="E201" i="2"/>
  <c r="E205" i="2"/>
  <c r="E202" i="2"/>
  <c r="C202" i="2"/>
  <c r="C205" i="2"/>
  <c r="C200" i="2"/>
  <c r="C204" i="2"/>
  <c r="C201" i="2"/>
  <c r="C211" i="2"/>
  <c r="C214" i="2"/>
  <c r="C210" i="2"/>
  <c r="C213" i="2"/>
  <c r="C209" i="2"/>
  <c r="C212" i="2"/>
  <c r="E211" i="2"/>
  <c r="E213" i="2"/>
  <c r="E209" i="2"/>
  <c r="E212" i="2"/>
  <c r="E214" i="2"/>
  <c r="E210" i="2"/>
  <c r="H209" i="2"/>
  <c r="H214" i="2"/>
  <c r="H210" i="2"/>
  <c r="H211" i="2"/>
  <c r="H213" i="2"/>
  <c r="H212" i="2"/>
  <c r="AZ28" i="1"/>
  <c r="AZ27" i="1"/>
  <c r="AY28" i="1"/>
  <c r="AY27" i="1"/>
  <c r="C220" i="2"/>
  <c r="E223" i="2"/>
  <c r="E222" i="2"/>
  <c r="E224" i="2"/>
  <c r="E221" i="2"/>
  <c r="E219" i="2"/>
  <c r="E220" i="2"/>
  <c r="C223" i="2"/>
  <c r="C224" i="2"/>
  <c r="C222" i="2"/>
  <c r="C219" i="2"/>
  <c r="C221" i="2"/>
  <c r="F233" i="2"/>
  <c r="F232" i="2"/>
  <c r="F231" i="2"/>
  <c r="F230" i="2"/>
  <c r="F229" i="2"/>
  <c r="AX28" i="1"/>
  <c r="AX27" i="1"/>
  <c r="D234" i="2"/>
  <c r="B234" i="2"/>
  <c r="G233" i="2"/>
  <c r="G232" i="2"/>
  <c r="G231" i="2"/>
  <c r="G230" i="2"/>
  <c r="G229" i="2"/>
  <c r="AX17" i="1"/>
  <c r="AX16" i="1"/>
  <c r="AX15" i="1"/>
  <c r="AX13" i="1"/>
  <c r="AX9" i="1"/>
  <c r="AW9" i="1"/>
  <c r="AW13" i="1"/>
  <c r="AW15" i="1"/>
  <c r="F244" i="2"/>
  <c r="F243" i="2"/>
  <c r="F242" i="2"/>
  <c r="F241" i="2"/>
  <c r="F240" i="2"/>
  <c r="D245" i="2"/>
  <c r="E245" i="2" s="1"/>
  <c r="E243" i="2"/>
  <c r="B245" i="2"/>
  <c r="C241" i="2" s="1"/>
  <c r="G244" i="2"/>
  <c r="G243" i="2"/>
  <c r="G242" i="2"/>
  <c r="G241" i="2"/>
  <c r="G240" i="2"/>
  <c r="AW28" i="1"/>
  <c r="AW27" i="1"/>
  <c r="AW17" i="1"/>
  <c r="AW16" i="1"/>
  <c r="AV15" i="1"/>
  <c r="AV13" i="1"/>
  <c r="AV28" i="1"/>
  <c r="AV27" i="1"/>
  <c r="F254" i="2"/>
  <c r="F253" i="2"/>
  <c r="F252" i="2"/>
  <c r="F251" i="2"/>
  <c r="F250" i="2"/>
  <c r="G250" i="2"/>
  <c r="G251" i="2"/>
  <c r="G252" i="2"/>
  <c r="G253" i="2"/>
  <c r="G254" i="2"/>
  <c r="B255" i="2"/>
  <c r="C251" i="2" s="1"/>
  <c r="D255" i="2"/>
  <c r="F261" i="2"/>
  <c r="G261" i="2"/>
  <c r="F262" i="2"/>
  <c r="G262" i="2"/>
  <c r="F263" i="2"/>
  <c r="G263" i="2"/>
  <c r="F264" i="2"/>
  <c r="G264" i="2"/>
  <c r="F265" i="2"/>
  <c r="G265" i="2"/>
  <c r="B266" i="2"/>
  <c r="D266" i="2"/>
  <c r="E264" i="2"/>
  <c r="E271" i="2"/>
  <c r="G271" i="2"/>
  <c r="E272" i="2"/>
  <c r="G272" i="2"/>
  <c r="E273" i="2"/>
  <c r="G273" i="2"/>
  <c r="E274" i="2"/>
  <c r="G274" i="2"/>
  <c r="E275" i="2"/>
  <c r="G275" i="2"/>
  <c r="B276" i="2"/>
  <c r="C271" i="2"/>
  <c r="F276" i="2"/>
  <c r="F281" i="2"/>
  <c r="G281" i="2"/>
  <c r="F282" i="2"/>
  <c r="G282" i="2"/>
  <c r="F283" i="2"/>
  <c r="G283" i="2"/>
  <c r="F284" i="2"/>
  <c r="G284" i="2"/>
  <c r="F285" i="2"/>
  <c r="G285" i="2"/>
  <c r="B286" i="2"/>
  <c r="D286" i="2"/>
  <c r="E283" i="2" s="1"/>
  <c r="F291" i="2"/>
  <c r="G291" i="2"/>
  <c r="F292" i="2"/>
  <c r="G292" i="2"/>
  <c r="F293" i="2"/>
  <c r="G293" i="2"/>
  <c r="F294" i="2"/>
  <c r="G294" i="2"/>
  <c r="B295" i="2"/>
  <c r="G295" i="2" s="1"/>
  <c r="F295" i="2"/>
  <c r="D296" i="2"/>
  <c r="F311" i="2"/>
  <c r="G311" i="2"/>
  <c r="F312" i="2"/>
  <c r="G312" i="2"/>
  <c r="F313" i="2"/>
  <c r="G313" i="2"/>
  <c r="F314" i="2"/>
  <c r="G314" i="2"/>
  <c r="F315" i="2"/>
  <c r="G315" i="2"/>
  <c r="B316" i="2"/>
  <c r="D316" i="2"/>
  <c r="F321" i="2"/>
  <c r="G321" i="2"/>
  <c r="F322" i="2"/>
  <c r="G322" i="2"/>
  <c r="F323" i="2"/>
  <c r="G323" i="2"/>
  <c r="F324" i="2"/>
  <c r="G324" i="2"/>
  <c r="B325" i="2"/>
  <c r="G325" i="2"/>
  <c r="F325" i="2"/>
  <c r="D326" i="2"/>
  <c r="F331" i="2"/>
  <c r="G331" i="2"/>
  <c r="F332" i="2"/>
  <c r="G332" i="2"/>
  <c r="F333" i="2"/>
  <c r="G333" i="2"/>
  <c r="F334" i="2"/>
  <c r="G334" i="2"/>
  <c r="F335" i="2"/>
  <c r="G335" i="2"/>
  <c r="B336" i="2"/>
  <c r="C332" i="2" s="1"/>
  <c r="D336" i="2"/>
  <c r="F341" i="2"/>
  <c r="G341" i="2"/>
  <c r="F342" i="2"/>
  <c r="G342" i="2"/>
  <c r="F343" i="2"/>
  <c r="G343" i="2"/>
  <c r="F344" i="2"/>
  <c r="G344" i="2"/>
  <c r="F345" i="2"/>
  <c r="G345" i="2"/>
  <c r="B346" i="2"/>
  <c r="C345" i="2" s="1"/>
  <c r="D346" i="2"/>
  <c r="G351" i="2"/>
  <c r="G352" i="2"/>
  <c r="G353" i="2"/>
  <c r="G354" i="2"/>
  <c r="G355" i="2"/>
  <c r="B356" i="2"/>
  <c r="D356" i="2"/>
  <c r="F356" i="2"/>
  <c r="F361" i="2"/>
  <c r="G361" i="2"/>
  <c r="F362" i="2"/>
  <c r="G362" i="2"/>
  <c r="F363" i="2"/>
  <c r="G363" i="2"/>
  <c r="F364" i="2"/>
  <c r="G364" i="2"/>
  <c r="F365" i="2"/>
  <c r="G365" i="2"/>
  <c r="B366" i="2"/>
  <c r="C366" i="2" s="1"/>
  <c r="D366" i="2"/>
  <c r="F371" i="2"/>
  <c r="G371" i="2"/>
  <c r="F372" i="2"/>
  <c r="G372" i="2"/>
  <c r="F373" i="2"/>
  <c r="G373" i="2"/>
  <c r="F374" i="2"/>
  <c r="G374" i="2"/>
  <c r="F375" i="2"/>
  <c r="G375" i="2"/>
  <c r="B376" i="2"/>
  <c r="D376" i="2"/>
  <c r="E376" i="2"/>
  <c r="F381" i="2"/>
  <c r="G381" i="2"/>
  <c r="F382" i="2"/>
  <c r="G382" i="2"/>
  <c r="F383" i="2"/>
  <c r="G383" i="2"/>
  <c r="F384" i="2"/>
  <c r="G384" i="2"/>
  <c r="F385" i="2"/>
  <c r="G385" i="2"/>
  <c r="B386" i="2"/>
  <c r="C381" i="2"/>
  <c r="D386" i="2"/>
  <c r="E386" i="2" s="1"/>
  <c r="F391" i="2"/>
  <c r="G391" i="2"/>
  <c r="F392" i="2"/>
  <c r="G392" i="2"/>
  <c r="F393" i="2"/>
  <c r="G393" i="2"/>
  <c r="F394" i="2"/>
  <c r="G394" i="2"/>
  <c r="F395" i="2"/>
  <c r="G395" i="2"/>
  <c r="B396" i="2"/>
  <c r="C391" i="2" s="1"/>
  <c r="D396" i="2"/>
  <c r="F401" i="2"/>
  <c r="G401" i="2"/>
  <c r="F402" i="2"/>
  <c r="G402" i="2"/>
  <c r="F403" i="2"/>
  <c r="G403" i="2"/>
  <c r="F404" i="2"/>
  <c r="G404" i="2"/>
  <c r="F405" i="2"/>
  <c r="G405" i="2"/>
  <c r="B406" i="2"/>
  <c r="D406" i="2"/>
  <c r="E404" i="2" s="1"/>
  <c r="F411" i="2"/>
  <c r="G411" i="2"/>
  <c r="F412" i="2"/>
  <c r="G412" i="2"/>
  <c r="F413" i="2"/>
  <c r="G413" i="2"/>
  <c r="F414" i="2"/>
  <c r="G414" i="2"/>
  <c r="F415" i="2"/>
  <c r="G415" i="2"/>
  <c r="B416" i="2"/>
  <c r="D416" i="2"/>
  <c r="E414" i="2" s="1"/>
  <c r="F421" i="2"/>
  <c r="G421" i="2"/>
  <c r="F422" i="2"/>
  <c r="G422" i="2"/>
  <c r="F423" i="2"/>
  <c r="G423" i="2"/>
  <c r="F424" i="2"/>
  <c r="G424" i="2"/>
  <c r="B425" i="2"/>
  <c r="F425" i="2"/>
  <c r="D426" i="2"/>
  <c r="E426" i="2"/>
  <c r="F431" i="2"/>
  <c r="G431" i="2"/>
  <c r="F432" i="2"/>
  <c r="G432" i="2"/>
  <c r="F433" i="2"/>
  <c r="G433" i="2"/>
  <c r="F434" i="2"/>
  <c r="G434" i="2"/>
  <c r="F435" i="2"/>
  <c r="G435" i="2"/>
  <c r="B436" i="2"/>
  <c r="C433" i="2" s="1"/>
  <c r="C436" i="2"/>
  <c r="D436" i="2"/>
  <c r="F441" i="2"/>
  <c r="G441" i="2"/>
  <c r="F442" i="2"/>
  <c r="G442" i="2"/>
  <c r="F443" i="2"/>
  <c r="G443" i="2"/>
  <c r="F444" i="2"/>
  <c r="G444" i="2"/>
  <c r="F445" i="2"/>
  <c r="G445" i="2"/>
  <c r="B446" i="2"/>
  <c r="C445" i="2" s="1"/>
  <c r="D446" i="2"/>
  <c r="E442" i="2" s="1"/>
  <c r="F451" i="2"/>
  <c r="G451" i="2"/>
  <c r="F452" i="2"/>
  <c r="G452" i="2"/>
  <c r="F453" i="2"/>
  <c r="G453" i="2"/>
  <c r="F454" i="2"/>
  <c r="G454" i="2"/>
  <c r="F455" i="2"/>
  <c r="G455" i="2"/>
  <c r="B456" i="2"/>
  <c r="D456" i="2"/>
  <c r="E453" i="2" s="1"/>
  <c r="F461" i="2"/>
  <c r="G461" i="2"/>
  <c r="F462" i="2"/>
  <c r="G462" i="2"/>
  <c r="F463" i="2"/>
  <c r="G463" i="2"/>
  <c r="F464" i="2"/>
  <c r="G464" i="2"/>
  <c r="F465" i="2"/>
  <c r="G465" i="2"/>
  <c r="B466" i="2"/>
  <c r="C462" i="2" s="1"/>
  <c r="D466" i="2"/>
  <c r="E461" i="2" s="1"/>
  <c r="F471" i="2"/>
  <c r="G471" i="2"/>
  <c r="F472" i="2"/>
  <c r="G472" i="2"/>
  <c r="F473" i="2"/>
  <c r="G473" i="2"/>
  <c r="F474" i="2"/>
  <c r="G474" i="2"/>
  <c r="F475" i="2"/>
  <c r="G475" i="2"/>
  <c r="B476" i="2"/>
  <c r="C473" i="2" s="1"/>
  <c r="D476" i="2"/>
  <c r="E471" i="2" s="1"/>
  <c r="F480" i="2"/>
  <c r="G480" i="2"/>
  <c r="F481" i="2"/>
  <c r="G481" i="2"/>
  <c r="F482" i="2"/>
  <c r="G482" i="2"/>
  <c r="F483" i="2"/>
  <c r="G483" i="2"/>
  <c r="F484" i="2"/>
  <c r="G484" i="2"/>
  <c r="B485" i="2"/>
  <c r="C484" i="2" s="1"/>
  <c r="D485" i="2"/>
  <c r="F490" i="2"/>
  <c r="G490" i="2"/>
  <c r="F491" i="2"/>
  <c r="G491" i="2"/>
  <c r="F492" i="2"/>
  <c r="G492" i="2"/>
  <c r="F493" i="2"/>
  <c r="G493" i="2"/>
  <c r="F494" i="2"/>
  <c r="G494" i="2"/>
  <c r="B495" i="2"/>
  <c r="C491" i="2" s="1"/>
  <c r="D495" i="2"/>
  <c r="E491" i="2" s="1"/>
  <c r="F500" i="2"/>
  <c r="G500" i="2"/>
  <c r="F501" i="2"/>
  <c r="G501" i="2"/>
  <c r="F502" i="2"/>
  <c r="G502" i="2"/>
  <c r="F503" i="2"/>
  <c r="G503" i="2"/>
  <c r="F504" i="2"/>
  <c r="G504" i="2"/>
  <c r="B505" i="2"/>
  <c r="D505" i="2"/>
  <c r="E502" i="2" s="1"/>
  <c r="F510" i="2"/>
  <c r="G510" i="2"/>
  <c r="F511" i="2"/>
  <c r="G511" i="2"/>
  <c r="F512" i="2"/>
  <c r="G512" i="2"/>
  <c r="F513" i="2"/>
  <c r="G513" i="2"/>
  <c r="F514" i="2"/>
  <c r="G514" i="2"/>
  <c r="B515" i="2"/>
  <c r="C514" i="2" s="1"/>
  <c r="D515" i="2"/>
  <c r="F520" i="2"/>
  <c r="G520" i="2"/>
  <c r="F521" i="2"/>
  <c r="G521" i="2"/>
  <c r="F522" i="2"/>
  <c r="G522" i="2"/>
  <c r="F523" i="2"/>
  <c r="G523" i="2"/>
  <c r="F524" i="2"/>
  <c r="G524" i="2"/>
  <c r="B525" i="2"/>
  <c r="C522" i="2" s="1"/>
  <c r="D525" i="2"/>
  <c r="E521" i="2" s="1"/>
  <c r="F530" i="2"/>
  <c r="G530" i="2"/>
  <c r="F531" i="2"/>
  <c r="G531" i="2"/>
  <c r="F532" i="2"/>
  <c r="G532" i="2"/>
  <c r="F533" i="2"/>
  <c r="G533" i="2"/>
  <c r="F534" i="2"/>
  <c r="G534" i="2"/>
  <c r="B535" i="2"/>
  <c r="D535" i="2"/>
  <c r="E535" i="2" s="1"/>
  <c r="F540" i="2"/>
  <c r="G540" i="2"/>
  <c r="F541" i="2"/>
  <c r="G541" i="2"/>
  <c r="F542" i="2"/>
  <c r="G542" i="2"/>
  <c r="F543" i="2"/>
  <c r="G543" i="2"/>
  <c r="F544" i="2"/>
  <c r="G544" i="2"/>
  <c r="B545" i="2"/>
  <c r="D545" i="2"/>
  <c r="E543" i="2" s="1"/>
  <c r="F550" i="2"/>
  <c r="G550" i="2"/>
  <c r="F551" i="2"/>
  <c r="G551" i="2"/>
  <c r="F552" i="2"/>
  <c r="G552" i="2"/>
  <c r="F553" i="2"/>
  <c r="G553" i="2"/>
  <c r="F554" i="2"/>
  <c r="G554" i="2"/>
  <c r="B555" i="2"/>
  <c r="C552" i="2" s="1"/>
  <c r="D555" i="2"/>
  <c r="F560" i="2"/>
  <c r="G560" i="2"/>
  <c r="G565" i="2" s="1"/>
  <c r="F561" i="2"/>
  <c r="G561" i="2"/>
  <c r="F562" i="2"/>
  <c r="G562" i="2"/>
  <c r="F563" i="2"/>
  <c r="G563" i="2"/>
  <c r="F564" i="2"/>
  <c r="G564" i="2"/>
  <c r="B565" i="2"/>
  <c r="D565" i="2"/>
  <c r="F570" i="2"/>
  <c r="G570" i="2"/>
  <c r="F571" i="2"/>
  <c r="G571" i="2"/>
  <c r="F572" i="2"/>
  <c r="G572" i="2"/>
  <c r="F573" i="2"/>
  <c r="G573" i="2"/>
  <c r="F574" i="2"/>
  <c r="G574" i="2"/>
  <c r="B575" i="2"/>
  <c r="C572" i="2" s="1"/>
  <c r="D575" i="2"/>
  <c r="F580" i="2"/>
  <c r="G580" i="2"/>
  <c r="F581" i="2"/>
  <c r="G581" i="2"/>
  <c r="F582" i="2"/>
  <c r="G582" i="2"/>
  <c r="F583" i="2"/>
  <c r="G583" i="2"/>
  <c r="F584" i="2"/>
  <c r="G584" i="2"/>
  <c r="B585" i="2"/>
  <c r="D585" i="2"/>
  <c r="E580" i="2" s="1"/>
  <c r="E581" i="2"/>
  <c r="F590" i="2"/>
  <c r="G590" i="2"/>
  <c r="F591" i="2"/>
  <c r="G591" i="2"/>
  <c r="G595" i="2" s="1"/>
  <c r="F592" i="2"/>
  <c r="G592" i="2"/>
  <c r="F593" i="2"/>
  <c r="G593" i="2"/>
  <c r="F594" i="2"/>
  <c r="G594" i="2"/>
  <c r="B595" i="2"/>
  <c r="C593" i="2" s="1"/>
  <c r="C590" i="2"/>
  <c r="D595" i="2"/>
  <c r="F600" i="2"/>
  <c r="G600" i="2"/>
  <c r="F601" i="2"/>
  <c r="G601" i="2"/>
  <c r="F602" i="2"/>
  <c r="G602" i="2"/>
  <c r="F603" i="2"/>
  <c r="G603" i="2"/>
  <c r="F604" i="2"/>
  <c r="G604" i="2"/>
  <c r="B605" i="2"/>
  <c r="C600" i="2" s="1"/>
  <c r="D605" i="2"/>
  <c r="E604" i="2" s="1"/>
  <c r="F610" i="2"/>
  <c r="G610" i="2"/>
  <c r="F611" i="2"/>
  <c r="G611" i="2"/>
  <c r="F612" i="2"/>
  <c r="G612" i="2"/>
  <c r="F613" i="2"/>
  <c r="G613" i="2"/>
  <c r="F614" i="2"/>
  <c r="G614" i="2"/>
  <c r="B615" i="2"/>
  <c r="C614" i="2" s="1"/>
  <c r="D615" i="2"/>
  <c r="F620" i="2"/>
  <c r="G620" i="2"/>
  <c r="F621" i="2"/>
  <c r="G621" i="2"/>
  <c r="F622" i="2"/>
  <c r="G622" i="2"/>
  <c r="G623" i="2"/>
  <c r="F624" i="2"/>
  <c r="G624" i="2"/>
  <c r="B625" i="2"/>
  <c r="D625" i="2"/>
  <c r="E624" i="2" s="1"/>
  <c r="F630" i="2"/>
  <c r="G630" i="2"/>
  <c r="F631" i="2"/>
  <c r="F635" i="2" s="1"/>
  <c r="G631" i="2"/>
  <c r="F632" i="2"/>
  <c r="G632" i="2"/>
  <c r="F633" i="2"/>
  <c r="G633" i="2"/>
  <c r="F634" i="2"/>
  <c r="G634" i="2"/>
  <c r="B635" i="2"/>
  <c r="C633" i="2" s="1"/>
  <c r="D635" i="2"/>
  <c r="F640" i="2"/>
  <c r="G640" i="2"/>
  <c r="F641" i="2"/>
  <c r="G641" i="2"/>
  <c r="F642" i="2"/>
  <c r="G642" i="2"/>
  <c r="F643" i="2"/>
  <c r="G643" i="2"/>
  <c r="F644" i="2"/>
  <c r="G644" i="2"/>
  <c r="B645" i="2"/>
  <c r="D645" i="2"/>
  <c r="E645" i="2" s="1"/>
  <c r="G650" i="2"/>
  <c r="G651" i="2"/>
  <c r="G652" i="2"/>
  <c r="G653" i="2"/>
  <c r="G654" i="2"/>
  <c r="B655" i="2"/>
  <c r="D655" i="2"/>
  <c r="F655" i="2"/>
  <c r="G660" i="2"/>
  <c r="G661" i="2"/>
  <c r="G662" i="2"/>
  <c r="G663" i="2"/>
  <c r="D664" i="2"/>
  <c r="F664" i="2"/>
  <c r="F665" i="2" s="1"/>
  <c r="B665" i="2"/>
  <c r="G670" i="2"/>
  <c r="G671" i="2"/>
  <c r="G672" i="2"/>
  <c r="G673" i="2"/>
  <c r="D674" i="2"/>
  <c r="B675" i="2"/>
  <c r="C670" i="2" s="1"/>
  <c r="F675" i="2"/>
  <c r="F680" i="2"/>
  <c r="G680" i="2"/>
  <c r="F681" i="2"/>
  <c r="G681" i="2"/>
  <c r="F682" i="2"/>
  <c r="G682" i="2"/>
  <c r="F683" i="2"/>
  <c r="G683" i="2"/>
  <c r="F684" i="2"/>
  <c r="G684" i="2"/>
  <c r="B685" i="2"/>
  <c r="D685" i="2"/>
  <c r="E685" i="2" s="1"/>
  <c r="G690" i="2"/>
  <c r="G691" i="2"/>
  <c r="G692" i="2"/>
  <c r="G693" i="2"/>
  <c r="G694" i="2"/>
  <c r="B695" i="2"/>
  <c r="D695" i="2"/>
  <c r="E691" i="2" s="1"/>
  <c r="F695" i="2"/>
  <c r="G700" i="2"/>
  <c r="G705" i="2" s="1"/>
  <c r="H705" i="2" s="1"/>
  <c r="F701" i="2"/>
  <c r="G701" i="2"/>
  <c r="F702" i="2"/>
  <c r="G702" i="2"/>
  <c r="G703" i="2"/>
  <c r="G704" i="2"/>
  <c r="B705" i="2"/>
  <c r="C702" i="2" s="1"/>
  <c r="C700" i="2"/>
  <c r="D705" i="2"/>
  <c r="G710" i="2"/>
  <c r="G711" i="2"/>
  <c r="G712" i="2"/>
  <c r="G713" i="2"/>
  <c r="G714" i="2"/>
  <c r="B715" i="2"/>
  <c r="C714" i="2" s="1"/>
  <c r="C713" i="2"/>
  <c r="D715" i="2"/>
  <c r="E710" i="2" s="1"/>
  <c r="F715" i="2"/>
  <c r="M9" i="1"/>
  <c r="N9" i="1"/>
  <c r="O9" i="1"/>
  <c r="P9" i="1"/>
  <c r="Q9" i="1"/>
  <c r="R9" i="1"/>
  <c r="S9" i="1"/>
  <c r="T9" i="1"/>
  <c r="U9" i="1"/>
  <c r="V9" i="1"/>
  <c r="W9" i="1"/>
  <c r="X9" i="1"/>
  <c r="Y9" i="1"/>
  <c r="Z9" i="1"/>
  <c r="AA9" i="1"/>
  <c r="AB9" i="1"/>
  <c r="AC9" i="1"/>
  <c r="AD9" i="1"/>
  <c r="AE9" i="1"/>
  <c r="AF9" i="1"/>
  <c r="AG9" i="1"/>
  <c r="AH9" i="1"/>
  <c r="AI9" i="1"/>
  <c r="AJ9" i="1"/>
  <c r="AK9" i="1"/>
  <c r="AL9" i="1"/>
  <c r="AM9" i="1"/>
  <c r="AN9" i="1"/>
  <c r="AO9" i="1"/>
  <c r="AP9" i="1"/>
  <c r="AQ9" i="1"/>
  <c r="AR9" i="1"/>
  <c r="AS9" i="1"/>
  <c r="AT9" i="1"/>
  <c r="AU9" i="1"/>
  <c r="AV9" i="1"/>
  <c r="B13" i="1"/>
  <c r="C13"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B15" i="1"/>
  <c r="C15" i="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AU15" i="1"/>
  <c r="B16" i="1"/>
  <c r="C16" i="1"/>
  <c r="D16"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B17"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F18" i="1"/>
  <c r="F27" i="1" s="1"/>
  <c r="G18" i="1"/>
  <c r="G27" i="1" s="1"/>
  <c r="B27" i="1"/>
  <c r="C27" i="1"/>
  <c r="D27" i="1"/>
  <c r="E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B28"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F436" i="2"/>
  <c r="C273" i="2"/>
  <c r="C532" i="2"/>
  <c r="E233" i="2"/>
  <c r="E393" i="2"/>
  <c r="E282" i="2"/>
  <c r="E372" i="2"/>
  <c r="C434" i="2"/>
  <c r="E711" i="2"/>
  <c r="E522" i="2"/>
  <c r="E374" i="2"/>
  <c r="E371" i="2"/>
  <c r="E284" i="2"/>
  <c r="E703" i="2"/>
  <c r="C574" i="2"/>
  <c r="E395" i="2"/>
  <c r="E714" i="2"/>
  <c r="E572" i="2"/>
  <c r="E525" i="2"/>
  <c r="E373" i="2"/>
  <c r="E392" i="2"/>
  <c r="C560" i="2"/>
  <c r="C242" i="2"/>
  <c r="E375" i="2"/>
  <c r="C510" i="2"/>
  <c r="C555" i="2"/>
  <c r="E523" i="2"/>
  <c r="C571" i="2"/>
  <c r="C570" i="2"/>
  <c r="C550" i="2"/>
  <c r="E582" i="2"/>
  <c r="C684" i="2"/>
  <c r="E542" i="2"/>
  <c r="C515" i="2"/>
  <c r="C575" i="2"/>
  <c r="E524" i="2"/>
  <c r="C551" i="2"/>
  <c r="C573" i="2"/>
  <c r="C623" i="2"/>
  <c r="C386" i="2"/>
  <c r="E681" i="2"/>
  <c r="E680" i="2"/>
  <c r="E605" i="2"/>
  <c r="C664" i="2"/>
  <c r="C274" i="2"/>
  <c r="C492" i="2"/>
  <c r="C384" i="2"/>
  <c r="E422" i="2"/>
  <c r="E683" i="2"/>
  <c r="C385" i="2"/>
  <c r="C401" i="2"/>
  <c r="C382" i="2"/>
  <c r="E594" i="2"/>
  <c r="C403" i="2"/>
  <c r="E423" i="2"/>
  <c r="E241" i="2"/>
  <c r="C362" i="2"/>
  <c r="E585" i="2"/>
  <c r="E654" i="2"/>
  <c r="E520" i="2"/>
  <c r="E682" i="2"/>
  <c r="E602" i="2"/>
  <c r="G266" i="2"/>
  <c r="H262" i="2" s="1"/>
  <c r="E242" i="2"/>
  <c r="E651" i="2"/>
  <c r="E653" i="2"/>
  <c r="C383" i="2"/>
  <c r="E702" i="2"/>
  <c r="C253" i="2"/>
  <c r="C275" i="2"/>
  <c r="E285" i="2"/>
  <c r="E466" i="2"/>
  <c r="E712" i="2"/>
  <c r="C591" i="2"/>
  <c r="C694" i="2"/>
  <c r="G436" i="2"/>
  <c r="E613" i="2"/>
  <c r="C229" i="2"/>
  <c r="C363" i="2"/>
  <c r="C404" i="2"/>
  <c r="E254" i="2"/>
  <c r="E421" i="2"/>
  <c r="C254" i="2"/>
  <c r="C405" i="2"/>
  <c r="C272" i="2"/>
  <c r="E281" i="2"/>
  <c r="C471" i="2"/>
  <c r="E620" i="2"/>
  <c r="C490" i="2"/>
  <c r="E623" i="2"/>
  <c r="E592" i="2"/>
  <c r="F245" i="2"/>
  <c r="E551" i="2"/>
  <c r="C592" i="2"/>
  <c r="C705" i="2"/>
  <c r="C361" i="2"/>
  <c r="E462" i="2"/>
  <c r="E563" i="2"/>
  <c r="C643" i="2"/>
  <c r="C701" i="2"/>
  <c r="E562" i="2"/>
  <c r="F286" i="2"/>
  <c r="C364" i="2"/>
  <c r="C255" i="2"/>
  <c r="C365" i="2"/>
  <c r="E455" i="2"/>
  <c r="E465" i="2"/>
  <c r="C475" i="2"/>
  <c r="E633" i="2"/>
  <c r="F605" i="2"/>
  <c r="C594" i="2"/>
  <c r="E463" i="2"/>
  <c r="C261" i="2"/>
  <c r="E561" i="2"/>
  <c r="C595" i="2"/>
  <c r="E464" i="2"/>
  <c r="G476" i="2"/>
  <c r="H220" i="2"/>
  <c r="H223" i="2"/>
  <c r="H221" i="2"/>
  <c r="H224" i="2"/>
  <c r="H222" i="2"/>
  <c r="H219" i="2"/>
  <c r="E311" i="2"/>
  <c r="C611" i="2"/>
  <c r="E550" i="2"/>
  <c r="E545" i="2"/>
  <c r="E541" i="2"/>
  <c r="C503" i="2"/>
  <c r="C435" i="2"/>
  <c r="C432" i="2"/>
  <c r="C431" i="2"/>
  <c r="E294" i="2"/>
  <c r="E292" i="2"/>
  <c r="E291" i="2"/>
  <c r="C632" i="2"/>
  <c r="C630" i="2"/>
  <c r="C631" i="2"/>
  <c r="E514" i="2"/>
  <c r="C494" i="2"/>
  <c r="C493" i="2"/>
  <c r="C495" i="2"/>
  <c r="E485" i="2"/>
  <c r="C456" i="2"/>
  <c r="C452" i="2"/>
  <c r="C453" i="2"/>
  <c r="G336" i="2"/>
  <c r="E265" i="2"/>
  <c r="E262" i="2"/>
  <c r="E263" i="2"/>
  <c r="E261" i="2"/>
  <c r="C610" i="2"/>
  <c r="C613" i="2"/>
  <c r="E445" i="2"/>
  <c r="E444" i="2"/>
  <c r="E441" i="2"/>
  <c r="E443" i="2"/>
  <c r="C635" i="2"/>
  <c r="C612" i="2"/>
  <c r="E511" i="2"/>
  <c r="E446" i="2"/>
  <c r="C451" i="2"/>
  <c r="E412" i="2"/>
  <c r="E411" i="2"/>
  <c r="E415" i="2"/>
  <c r="E416" i="2"/>
  <c r="E365" i="2"/>
  <c r="B326" i="2"/>
  <c r="B296" i="2"/>
  <c r="C295" i="2" s="1"/>
  <c r="E230" i="2"/>
  <c r="E231" i="2"/>
  <c r="C695" i="2"/>
  <c r="C693" i="2"/>
  <c r="C665" i="2"/>
  <c r="E635" i="2"/>
  <c r="C624" i="2"/>
  <c r="C474" i="2"/>
  <c r="C476" i="2"/>
  <c r="C472" i="2"/>
  <c r="E601" i="2"/>
  <c r="E584" i="2"/>
  <c r="C326" i="2"/>
  <c r="H562" i="2"/>
  <c r="H594" i="2" l="1"/>
  <c r="H590" i="2"/>
  <c r="E481" i="2"/>
  <c r="E480" i="2"/>
  <c r="E482" i="2"/>
  <c r="C315" i="2"/>
  <c r="C313" i="2"/>
  <c r="C311" i="2"/>
  <c r="C312" i="2"/>
  <c r="C511" i="2"/>
  <c r="E483" i="2"/>
  <c r="H702" i="2"/>
  <c r="E652" i="2"/>
  <c r="E655" i="2"/>
  <c r="E650" i="2"/>
  <c r="C622" i="2"/>
  <c r="C621" i="2"/>
  <c r="E564" i="2"/>
  <c r="E565" i="2"/>
  <c r="E560" i="2"/>
  <c r="G446" i="2"/>
  <c r="H445" i="2" s="1"/>
  <c r="E424" i="2"/>
  <c r="E425" i="2"/>
  <c r="C406" i="2"/>
  <c r="C402" i="2"/>
  <c r="F406" i="2"/>
  <c r="G386" i="2"/>
  <c r="H383" i="2" s="1"/>
  <c r="G356" i="2"/>
  <c r="C232" i="2"/>
  <c r="C230" i="2"/>
  <c r="C233" i="2"/>
  <c r="C234" i="2"/>
  <c r="H671" i="56"/>
  <c r="C330" i="56"/>
  <c r="C333" i="56"/>
  <c r="C331" i="56"/>
  <c r="C328" i="56"/>
  <c r="C332" i="56"/>
  <c r="C340" i="56"/>
  <c r="G343" i="56"/>
  <c r="C338" i="56"/>
  <c r="C341" i="56"/>
  <c r="C339" i="56"/>
  <c r="C369" i="56"/>
  <c r="C372" i="56"/>
  <c r="E492" i="2"/>
  <c r="C314" i="2"/>
  <c r="H265" i="2"/>
  <c r="C323" i="2"/>
  <c r="C324" i="2"/>
  <c r="C292" i="2"/>
  <c r="H264" i="2"/>
  <c r="C675" i="2"/>
  <c r="E413" i="2"/>
  <c r="C634" i="2"/>
  <c r="C615" i="2"/>
  <c r="C602" i="2"/>
  <c r="C605" i="2"/>
  <c r="H261" i="2"/>
  <c r="E501" i="2"/>
  <c r="C535" i="2"/>
  <c r="C530" i="2"/>
  <c r="C531" i="2"/>
  <c r="C534" i="2"/>
  <c r="C533" i="2"/>
  <c r="F495" i="2"/>
  <c r="E295" i="2"/>
  <c r="E293" i="2"/>
  <c r="E296" i="2" s="1"/>
  <c r="C281" i="2"/>
  <c r="C282" i="2"/>
  <c r="G276" i="2"/>
  <c r="H608" i="56"/>
  <c r="H611" i="56"/>
  <c r="H607" i="56"/>
  <c r="C562" i="56"/>
  <c r="E558" i="56"/>
  <c r="C103" i="56"/>
  <c r="C102" i="56"/>
  <c r="C683" i="2"/>
  <c r="C682" i="2"/>
  <c r="E505" i="2"/>
  <c r="E503" i="2"/>
  <c r="C230" i="56"/>
  <c r="C231" i="56"/>
  <c r="C228" i="56"/>
  <c r="C229" i="56"/>
  <c r="B293" i="56"/>
  <c r="G292" i="56"/>
  <c r="C571" i="56"/>
  <c r="C568" i="56"/>
  <c r="C569" i="56"/>
  <c r="C570" i="56"/>
  <c r="C567" i="56"/>
  <c r="C577" i="56"/>
  <c r="C579" i="56"/>
  <c r="C581" i="56"/>
  <c r="C592" i="56"/>
  <c r="C590" i="56"/>
  <c r="C587" i="56"/>
  <c r="C589" i="56"/>
  <c r="C591" i="56"/>
  <c r="C610" i="56"/>
  <c r="C611" i="56"/>
  <c r="C609" i="56"/>
  <c r="C607" i="56"/>
  <c r="E618" i="56"/>
  <c r="E621" i="56"/>
  <c r="E619" i="56"/>
  <c r="E620" i="56"/>
  <c r="E617" i="56"/>
  <c r="E622" i="56"/>
  <c r="E640" i="56"/>
  <c r="E638" i="56"/>
  <c r="H668" i="56"/>
  <c r="H672" i="56"/>
  <c r="C512" i="2"/>
  <c r="C513" i="2"/>
  <c r="E484" i="2"/>
  <c r="E500" i="2"/>
  <c r="E504" i="2"/>
  <c r="E286" i="2"/>
  <c r="C685" i="2"/>
  <c r="E713" i="2"/>
  <c r="E715" i="2"/>
  <c r="C692" i="2"/>
  <c r="C690" i="2"/>
  <c r="C691" i="2"/>
  <c r="G674" i="2"/>
  <c r="D675" i="2"/>
  <c r="E621" i="2"/>
  <c r="E622" i="2"/>
  <c r="H591" i="2"/>
  <c r="F555" i="2"/>
  <c r="C454" i="2"/>
  <c r="C455" i="2"/>
  <c r="E391" i="2"/>
  <c r="E394" i="2"/>
  <c r="E396" i="2"/>
  <c r="C252" i="2"/>
  <c r="C250" i="2"/>
  <c r="C342" i="56"/>
  <c r="H362" i="56"/>
  <c r="H358" i="56"/>
  <c r="C597" i="56"/>
  <c r="C612" i="56"/>
  <c r="E370" i="56"/>
  <c r="E372" i="56"/>
  <c r="E369" i="56"/>
  <c r="E373" i="56"/>
  <c r="E371" i="56"/>
  <c r="E368" i="56"/>
  <c r="H477" i="56"/>
  <c r="H482" i="56"/>
  <c r="E552" i="56"/>
  <c r="E549" i="56"/>
  <c r="E550" i="56"/>
  <c r="E548" i="56"/>
  <c r="E561" i="56"/>
  <c r="E562" i="56"/>
  <c r="E557" i="56"/>
  <c r="E602" i="56"/>
  <c r="E600" i="56"/>
  <c r="E597" i="56"/>
  <c r="E599" i="56"/>
  <c r="E601" i="56"/>
  <c r="H610" i="56"/>
  <c r="H198" i="57"/>
  <c r="H199" i="57"/>
  <c r="E207" i="57"/>
  <c r="E209" i="57"/>
  <c r="E206" i="57"/>
  <c r="E210" i="57"/>
  <c r="F426" i="2"/>
  <c r="C162" i="56"/>
  <c r="C159" i="56"/>
  <c r="E188" i="56"/>
  <c r="E190" i="56"/>
  <c r="E249" i="56"/>
  <c r="E248" i="56"/>
  <c r="E250" i="56"/>
  <c r="E251" i="56"/>
  <c r="G383" i="56"/>
  <c r="E448" i="56"/>
  <c r="E451" i="56"/>
  <c r="E452" i="56"/>
  <c r="F473" i="56"/>
  <c r="F512" i="56"/>
  <c r="H567" i="56"/>
  <c r="C100" i="2"/>
  <c r="C102" i="2"/>
  <c r="C103" i="57"/>
  <c r="C104" i="57"/>
  <c r="C99" i="57"/>
  <c r="C101" i="57"/>
  <c r="C105" i="57"/>
  <c r="E105" i="57"/>
  <c r="E99" i="57"/>
  <c r="E106" i="57" s="1"/>
  <c r="E100" i="57"/>
  <c r="E104" i="57"/>
  <c r="E102" i="57"/>
  <c r="W28" i="59"/>
  <c r="E103" i="2"/>
  <c r="E101" i="2"/>
  <c r="C101" i="2"/>
  <c r="E544" i="2"/>
  <c r="E452" i="2"/>
  <c r="E540" i="2"/>
  <c r="E600" i="2"/>
  <c r="E603" i="2"/>
  <c r="C554" i="2"/>
  <c r="F705" i="2"/>
  <c r="C553" i="2"/>
  <c r="F234" i="2"/>
  <c r="H468" i="56"/>
  <c r="H469" i="56"/>
  <c r="E247" i="56"/>
  <c r="H181" i="57"/>
  <c r="H180" i="57"/>
  <c r="C691" i="56"/>
  <c r="C200" i="56"/>
  <c r="C199" i="56"/>
  <c r="C201" i="56"/>
  <c r="C262" i="56"/>
  <c r="C261" i="56"/>
  <c r="C259" i="56"/>
  <c r="C271" i="56"/>
  <c r="C269" i="56"/>
  <c r="F333" i="56"/>
  <c r="F562" i="56"/>
  <c r="F582" i="56"/>
  <c r="F602" i="56"/>
  <c r="E699" i="56"/>
  <c r="E701" i="56"/>
  <c r="E697" i="56"/>
  <c r="E702" i="56"/>
  <c r="E708" i="56"/>
  <c r="E712" i="56"/>
  <c r="E711" i="56"/>
  <c r="H174" i="56"/>
  <c r="C153" i="56"/>
  <c r="C149" i="56"/>
  <c r="C118" i="2"/>
  <c r="C116" i="2"/>
  <c r="C115" i="2"/>
  <c r="C100" i="57"/>
  <c r="E3" i="57"/>
  <c r="E10" i="57"/>
  <c r="W16" i="59"/>
  <c r="BM29" i="1"/>
  <c r="H489" i="56"/>
  <c r="F572" i="56"/>
  <c r="G175" i="56"/>
  <c r="H175" i="56" s="1"/>
  <c r="H169" i="57"/>
  <c r="E148" i="56"/>
  <c r="E151" i="56"/>
  <c r="C149" i="2"/>
  <c r="C147" i="2"/>
  <c r="C137" i="56"/>
  <c r="C127" i="57"/>
  <c r="C128" i="57"/>
  <c r="C122" i="57"/>
  <c r="C116" i="57"/>
  <c r="E112" i="57"/>
  <c r="E99" i="2"/>
  <c r="C78" i="56"/>
  <c r="E34" i="57"/>
  <c r="C3" i="57"/>
  <c r="W31" i="59"/>
  <c r="G4" i="2"/>
  <c r="BQ32" i="1"/>
  <c r="G682" i="56"/>
  <c r="F70" i="2"/>
  <c r="F46" i="2"/>
  <c r="C34" i="2"/>
  <c r="G22" i="57"/>
  <c r="E9" i="56"/>
  <c r="BT16" i="58"/>
  <c r="BT34" i="58"/>
  <c r="BS10" i="1"/>
  <c r="BL17" i="1"/>
  <c r="BS6" i="1"/>
  <c r="BL28" i="1"/>
  <c r="G5" i="2"/>
  <c r="G19" i="2"/>
  <c r="BM33" i="1"/>
  <c r="G333" i="56"/>
  <c r="G373" i="56"/>
  <c r="H170" i="56"/>
  <c r="E147" i="56"/>
  <c r="E149" i="56"/>
  <c r="C148" i="2"/>
  <c r="C123" i="57"/>
  <c r="G124" i="2"/>
  <c r="G116" i="2"/>
  <c r="C114" i="57"/>
  <c r="G89" i="2"/>
  <c r="G101" i="2"/>
  <c r="G105" i="2"/>
  <c r="G46" i="57"/>
  <c r="H40" i="57" s="1"/>
  <c r="G22" i="56"/>
  <c r="H20" i="56" s="1"/>
  <c r="BT30" i="58"/>
  <c r="BO16" i="1"/>
  <c r="BM16" i="1"/>
  <c r="H433" i="2"/>
  <c r="H431" i="2"/>
  <c r="AJ22" i="61"/>
  <c r="AF22" i="61"/>
  <c r="AL22" i="61"/>
  <c r="AH22" i="61"/>
  <c r="C652" i="2"/>
  <c r="C654" i="2"/>
  <c r="C650" i="2"/>
  <c r="C141" i="57"/>
  <c r="C138" i="57"/>
  <c r="C140" i="57"/>
  <c r="C135" i="57"/>
  <c r="C137" i="57"/>
  <c r="C139" i="57"/>
  <c r="G141" i="57"/>
  <c r="H138" i="57" s="1"/>
  <c r="C134" i="57"/>
  <c r="H381" i="2"/>
  <c r="C291" i="2"/>
  <c r="H435" i="2"/>
  <c r="H446" i="2"/>
  <c r="H441" i="2"/>
  <c r="G555" i="2"/>
  <c r="H554" i="2" s="1"/>
  <c r="H474" i="2"/>
  <c r="H472" i="2"/>
  <c r="F296" i="2"/>
  <c r="H163" i="56"/>
  <c r="H166" i="56"/>
  <c r="H160" i="56"/>
  <c r="H688" i="56"/>
  <c r="H692" i="56"/>
  <c r="H691" i="56"/>
  <c r="H687" i="56"/>
  <c r="C136" i="57"/>
  <c r="G286" i="2"/>
  <c r="H283" i="2" s="1"/>
  <c r="C283" i="2"/>
  <c r="C651" i="2"/>
  <c r="C341" i="2"/>
  <c r="C346" i="2"/>
  <c r="C344" i="2"/>
  <c r="C343" i="2"/>
  <c r="C342" i="2"/>
  <c r="F346" i="2"/>
  <c r="F336" i="2"/>
  <c r="E229" i="2"/>
  <c r="E232" i="2"/>
  <c r="G216" i="56"/>
  <c r="H184" i="56"/>
  <c r="H181" i="56"/>
  <c r="H180" i="56"/>
  <c r="H210" i="56"/>
  <c r="H206" i="56"/>
  <c r="H211" i="56"/>
  <c r="H201" i="56"/>
  <c r="E290" i="56"/>
  <c r="E291" i="56"/>
  <c r="E292" i="56"/>
  <c r="H309" i="56"/>
  <c r="E308" i="56"/>
  <c r="G313" i="56"/>
  <c r="E311" i="56"/>
  <c r="E379" i="56"/>
  <c r="E380" i="56"/>
  <c r="E383" i="56"/>
  <c r="G393" i="56"/>
  <c r="H389" i="56" s="1"/>
  <c r="C408" i="56"/>
  <c r="C409" i="56"/>
  <c r="C413" i="56"/>
  <c r="C411" i="56"/>
  <c r="C412" i="56"/>
  <c r="E421" i="56"/>
  <c r="E422" i="56"/>
  <c r="G433" i="56"/>
  <c r="H433" i="56" s="1"/>
  <c r="E490" i="56"/>
  <c r="E492" i="56"/>
  <c r="E491" i="56"/>
  <c r="E488" i="56"/>
  <c r="E487" i="56"/>
  <c r="E489" i="56"/>
  <c r="G502" i="56"/>
  <c r="H498" i="56" s="1"/>
  <c r="E529" i="56"/>
  <c r="E532" i="56"/>
  <c r="E530" i="56"/>
  <c r="G642" i="56"/>
  <c r="G615" i="2"/>
  <c r="H614" i="2" s="1"/>
  <c r="G535" i="2"/>
  <c r="H471" i="2"/>
  <c r="H476" i="2"/>
  <c r="E634" i="2"/>
  <c r="E632" i="2"/>
  <c r="E630" i="2"/>
  <c r="G425" i="2"/>
  <c r="B426" i="2"/>
  <c r="C425" i="2" s="1"/>
  <c r="H595" i="2"/>
  <c r="C321" i="2"/>
  <c r="H475" i="2"/>
  <c r="H473" i="2"/>
  <c r="H436" i="2"/>
  <c r="H434" i="2"/>
  <c r="E631" i="2"/>
  <c r="E234" i="2"/>
  <c r="C645" i="2"/>
  <c r="C644" i="2"/>
  <c r="C642" i="2"/>
  <c r="C641" i="2"/>
  <c r="C640" i="2"/>
  <c r="H593" i="2"/>
  <c r="G515" i="2"/>
  <c r="H432" i="2"/>
  <c r="C244" i="2"/>
  <c r="C240" i="2"/>
  <c r="C243" i="2"/>
  <c r="C245" i="2"/>
  <c r="H197" i="56"/>
  <c r="E288" i="56"/>
  <c r="E293" i="56" s="1"/>
  <c r="H216" i="57"/>
  <c r="H220" i="57"/>
  <c r="H215" i="57"/>
  <c r="H217" i="57"/>
  <c r="E260" i="56"/>
  <c r="E259" i="56"/>
  <c r="G715" i="2"/>
  <c r="H711" i="2" s="1"/>
  <c r="G675" i="2"/>
  <c r="H672" i="2" s="1"/>
  <c r="G605" i="2"/>
  <c r="G485" i="2"/>
  <c r="H482" i="2" s="1"/>
  <c r="G396" i="2"/>
  <c r="F255" i="2"/>
  <c r="H205" i="2"/>
  <c r="E399" i="56"/>
  <c r="E400" i="56"/>
  <c r="C481" i="56"/>
  <c r="C480" i="56"/>
  <c r="C478" i="56"/>
  <c r="C479" i="56"/>
  <c r="C518" i="56"/>
  <c r="C520" i="56"/>
  <c r="H134" i="57"/>
  <c r="E129" i="56"/>
  <c r="E123" i="56"/>
  <c r="E126" i="56"/>
  <c r="D130" i="2"/>
  <c r="E125" i="56"/>
  <c r="E124" i="56"/>
  <c r="E127" i="56"/>
  <c r="E130" i="56"/>
  <c r="E112" i="56"/>
  <c r="E114" i="56"/>
  <c r="E116" i="56"/>
  <c r="E113" i="56"/>
  <c r="E111" i="56"/>
  <c r="E117" i="56"/>
  <c r="E118" i="56"/>
  <c r="G118" i="56"/>
  <c r="E58" i="57"/>
  <c r="E57" i="57"/>
  <c r="E56" i="57"/>
  <c r="E55" i="57"/>
  <c r="E52" i="57"/>
  <c r="E53" i="57"/>
  <c r="C704" i="2"/>
  <c r="C681" i="2"/>
  <c r="C316" i="2"/>
  <c r="E583" i="2"/>
  <c r="E625" i="2"/>
  <c r="C703" i="2"/>
  <c r="E684" i="2"/>
  <c r="C620" i="2"/>
  <c r="F625" i="2"/>
  <c r="H611" i="2"/>
  <c r="F585" i="2"/>
  <c r="G575" i="2"/>
  <c r="H533" i="2"/>
  <c r="H531" i="2"/>
  <c r="G495" i="2"/>
  <c r="H493" i="2" s="1"/>
  <c r="F466" i="2"/>
  <c r="G456" i="2"/>
  <c r="H455" i="2" s="1"/>
  <c r="F416" i="2"/>
  <c r="G406" i="2"/>
  <c r="H404" i="2" s="1"/>
  <c r="F376" i="2"/>
  <c r="G366" i="2"/>
  <c r="G346" i="2"/>
  <c r="G255" i="2"/>
  <c r="H254" i="2" s="1"/>
  <c r="G245" i="2"/>
  <c r="H243" i="2" s="1"/>
  <c r="H670" i="56"/>
  <c r="H363" i="56"/>
  <c r="G532" i="56"/>
  <c r="H527" i="56" s="1"/>
  <c r="E398" i="56"/>
  <c r="E238" i="56"/>
  <c r="H197" i="57"/>
  <c r="E211" i="57"/>
  <c r="H183" i="57"/>
  <c r="C522" i="56"/>
  <c r="E183" i="56"/>
  <c r="E182" i="56"/>
  <c r="C221" i="56"/>
  <c r="C216" i="56"/>
  <c r="C226" i="56"/>
  <c r="E473" i="56"/>
  <c r="E472" i="56"/>
  <c r="E507" i="56"/>
  <c r="E512" i="56"/>
  <c r="E510" i="56"/>
  <c r="G130" i="56"/>
  <c r="H128" i="56" s="1"/>
  <c r="E92" i="57"/>
  <c r="E88" i="57"/>
  <c r="E89" i="57"/>
  <c r="E90" i="57"/>
  <c r="E87" i="57"/>
  <c r="E93" i="57"/>
  <c r="E77" i="56"/>
  <c r="E80" i="56"/>
  <c r="E75" i="56"/>
  <c r="G92" i="2"/>
  <c r="E93" i="56"/>
  <c r="E90" i="56"/>
  <c r="E87" i="56"/>
  <c r="E91" i="56"/>
  <c r="D94" i="2"/>
  <c r="E88" i="56"/>
  <c r="E92" i="56"/>
  <c r="E89" i="56"/>
  <c r="C680" i="2"/>
  <c r="F685" i="2"/>
  <c r="G645" i="2"/>
  <c r="G585" i="2"/>
  <c r="G545" i="2"/>
  <c r="G505" i="2"/>
  <c r="G466" i="2"/>
  <c r="H461" i="2" s="1"/>
  <c r="G416" i="2"/>
  <c r="H413" i="2" s="1"/>
  <c r="G376" i="2"/>
  <c r="H284" i="2"/>
  <c r="H282" i="2"/>
  <c r="H263" i="2"/>
  <c r="H266" i="2" s="1"/>
  <c r="H667" i="56"/>
  <c r="H487" i="56"/>
  <c r="H380" i="56"/>
  <c r="H360" i="56"/>
  <c r="H206" i="57"/>
  <c r="H210" i="57"/>
  <c r="H378" i="56"/>
  <c r="H558" i="56"/>
  <c r="E402" i="56"/>
  <c r="C519" i="56"/>
  <c r="C521" i="56"/>
  <c r="C272" i="56"/>
  <c r="C270" i="56"/>
  <c r="C501" i="56"/>
  <c r="C497" i="56"/>
  <c r="C538" i="56"/>
  <c r="C540" i="56"/>
  <c r="C539" i="56"/>
  <c r="C640" i="56"/>
  <c r="C638" i="56"/>
  <c r="D662" i="56"/>
  <c r="G661" i="56"/>
  <c r="G662" i="56" s="1"/>
  <c r="E67" i="57"/>
  <c r="E65" i="57"/>
  <c r="E63" i="57"/>
  <c r="E69" i="57"/>
  <c r="E64" i="57"/>
  <c r="E66" i="57"/>
  <c r="E68" i="57"/>
  <c r="E70" i="57"/>
  <c r="C329" i="56"/>
  <c r="G702" i="56"/>
  <c r="H172" i="56"/>
  <c r="C152" i="56"/>
  <c r="C146" i="57"/>
  <c r="C150" i="56"/>
  <c r="E135" i="56"/>
  <c r="E128" i="57"/>
  <c r="E123" i="57"/>
  <c r="E34" i="56"/>
  <c r="E27" i="56"/>
  <c r="E29" i="56"/>
  <c r="E28" i="56"/>
  <c r="E31" i="56"/>
  <c r="E30" i="56"/>
  <c r="C21" i="56"/>
  <c r="C15" i="56"/>
  <c r="C17" i="56"/>
  <c r="C22" i="56"/>
  <c r="C18" i="56"/>
  <c r="C19" i="56"/>
  <c r="C16" i="56"/>
  <c r="C202" i="57"/>
  <c r="F221" i="56"/>
  <c r="F242" i="56"/>
  <c r="F263" i="56"/>
  <c r="E273" i="56"/>
  <c r="G353" i="56"/>
  <c r="F423" i="56"/>
  <c r="E453" i="56"/>
  <c r="F463" i="56"/>
  <c r="E547" i="56"/>
  <c r="F592" i="56"/>
  <c r="F612" i="56"/>
  <c r="F622" i="56"/>
  <c r="G622" i="56"/>
  <c r="H620" i="56" s="1"/>
  <c r="F632" i="56"/>
  <c r="G652" i="56"/>
  <c r="F702" i="56"/>
  <c r="C173" i="57"/>
  <c r="C148" i="57"/>
  <c r="C149" i="57"/>
  <c r="E150" i="56"/>
  <c r="E152" i="57"/>
  <c r="C153" i="57"/>
  <c r="H140" i="57"/>
  <c r="E139" i="56"/>
  <c r="E141" i="56"/>
  <c r="E125" i="57"/>
  <c r="E124" i="57"/>
  <c r="E127" i="57"/>
  <c r="G123" i="2"/>
  <c r="C81" i="2"/>
  <c r="C77" i="2"/>
  <c r="C79" i="2"/>
  <c r="C80" i="2"/>
  <c r="C78" i="2"/>
  <c r="C76" i="2"/>
  <c r="C75" i="2"/>
  <c r="E69" i="56"/>
  <c r="E63" i="56"/>
  <c r="E65" i="56"/>
  <c r="D70" i="2"/>
  <c r="E67" i="56"/>
  <c r="E64" i="56"/>
  <c r="C40" i="57"/>
  <c r="E32" i="56"/>
  <c r="E33" i="56"/>
  <c r="H381" i="56"/>
  <c r="F403" i="56"/>
  <c r="H442" i="56"/>
  <c r="H179" i="57"/>
  <c r="G82" i="56"/>
  <c r="G100" i="2"/>
  <c r="E33" i="2"/>
  <c r="E32" i="2"/>
  <c r="E30" i="2"/>
  <c r="E34" i="2"/>
  <c r="E27" i="2"/>
  <c r="E28" i="2"/>
  <c r="E29" i="2"/>
  <c r="W15" i="59"/>
  <c r="BT15" i="58"/>
  <c r="C112" i="57"/>
  <c r="C110" i="57"/>
  <c r="G114" i="2"/>
  <c r="C115" i="57"/>
  <c r="E100" i="2"/>
  <c r="E104" i="2"/>
  <c r="C105" i="2"/>
  <c r="C81" i="57"/>
  <c r="C76" i="57"/>
  <c r="C75" i="56"/>
  <c r="E100" i="56"/>
  <c r="E102" i="2"/>
  <c r="C82" i="57"/>
  <c r="C69" i="57"/>
  <c r="F58" i="2"/>
  <c r="E29" i="57"/>
  <c r="E42" i="56"/>
  <c r="C27" i="2"/>
  <c r="E39" i="56"/>
  <c r="E19" i="57"/>
  <c r="E18" i="57"/>
  <c r="E20" i="57"/>
  <c r="E22" i="57"/>
  <c r="F22" i="2"/>
  <c r="AO18" i="61"/>
  <c r="C8" i="57"/>
  <c r="W18" i="59"/>
  <c r="BT18" i="58"/>
  <c r="BJ9" i="1"/>
  <c r="BO14" i="1"/>
  <c r="BO15" i="1"/>
  <c r="BP17" i="1"/>
  <c r="BO17" i="1"/>
  <c r="BS7" i="1"/>
  <c r="BP29" i="1"/>
  <c r="D58" i="2"/>
  <c r="BP30" i="1"/>
  <c r="BL30" i="1"/>
  <c r="G106" i="57"/>
  <c r="C5" i="57"/>
  <c r="C4" i="57"/>
  <c r="G10" i="57"/>
  <c r="H3" i="57" s="1"/>
  <c r="W32" i="59"/>
  <c r="BT31" i="58"/>
  <c r="BO13" i="1"/>
  <c r="BR29" i="1"/>
  <c r="BL29" i="1"/>
  <c r="G6" i="2"/>
  <c r="C111" i="57"/>
  <c r="E105" i="2"/>
  <c r="G82" i="57"/>
  <c r="E105" i="56"/>
  <c r="G58" i="56"/>
  <c r="H53" i="56" s="1"/>
  <c r="E40" i="56"/>
  <c r="E44" i="56"/>
  <c r="G46" i="2"/>
  <c r="H39" i="2" s="1"/>
  <c r="C9" i="57"/>
  <c r="C7" i="57"/>
  <c r="BK13" i="1"/>
  <c r="BL16" i="1"/>
  <c r="BL18" i="1"/>
  <c r="BQ17" i="1"/>
  <c r="BP14" i="1"/>
  <c r="BM17" i="1"/>
  <c r="AF25" i="61"/>
  <c r="AL172" i="61"/>
  <c r="AH7" i="61"/>
  <c r="AF7" i="61"/>
  <c r="AL25" i="61"/>
  <c r="AL7" i="61"/>
  <c r="AJ25" i="61"/>
  <c r="G695" i="2"/>
  <c r="G685" i="2"/>
  <c r="H682" i="2" s="1"/>
  <c r="F645" i="2"/>
  <c r="C584" i="2"/>
  <c r="C582" i="2"/>
  <c r="C580" i="2"/>
  <c r="C585" i="2"/>
  <c r="C583" i="2"/>
  <c r="C581" i="2"/>
  <c r="H570" i="2"/>
  <c r="H572" i="2"/>
  <c r="H571" i="2"/>
  <c r="H575" i="2"/>
  <c r="F545" i="2"/>
  <c r="C461" i="2"/>
  <c r="C463" i="2"/>
  <c r="C466" i="2"/>
  <c r="C465" i="2"/>
  <c r="C464" i="2"/>
  <c r="C412" i="2"/>
  <c r="C415" i="2"/>
  <c r="C416" i="2"/>
  <c r="C413" i="2"/>
  <c r="C375" i="2"/>
  <c r="C376" i="2"/>
  <c r="C372" i="2"/>
  <c r="C373" i="2"/>
  <c r="C371" i="2"/>
  <c r="H364" i="2"/>
  <c r="F266" i="2"/>
  <c r="H662" i="56"/>
  <c r="H660" i="56"/>
  <c r="H658" i="56"/>
  <c r="H657" i="56"/>
  <c r="H268" i="56"/>
  <c r="H270" i="56"/>
  <c r="H272" i="56"/>
  <c r="BR34" i="1"/>
  <c r="BR14" i="1"/>
  <c r="BR13" i="1"/>
  <c r="BR27" i="1"/>
  <c r="BP33" i="1"/>
  <c r="BP31" i="1"/>
  <c r="BN34" i="1"/>
  <c r="BN14" i="1"/>
  <c r="BP32" i="1"/>
  <c r="BN32" i="1"/>
  <c r="BN13" i="1"/>
  <c r="BP27" i="1"/>
  <c r="BO33" i="1"/>
  <c r="BH14" i="1"/>
  <c r="BH30" i="1"/>
  <c r="BJ30" i="1"/>
  <c r="BI28" i="1"/>
  <c r="BI27" i="1"/>
  <c r="BH13" i="1"/>
  <c r="BS4" i="1"/>
  <c r="BI29" i="1"/>
  <c r="BJ27" i="1"/>
  <c r="BJ28" i="1"/>
  <c r="BI30" i="1"/>
  <c r="H574" i="2"/>
  <c r="H402" i="2"/>
  <c r="C414" i="2"/>
  <c r="C293" i="2"/>
  <c r="G296" i="2"/>
  <c r="C294" i="2"/>
  <c r="H701" i="2"/>
  <c r="H704" i="2"/>
  <c r="E700" i="2"/>
  <c r="E701" i="2"/>
  <c r="E705" i="2"/>
  <c r="E704" i="2"/>
  <c r="H703" i="2"/>
  <c r="D665" i="2"/>
  <c r="E664" i="2" s="1"/>
  <c r="G664" i="2"/>
  <c r="G655" i="2"/>
  <c r="H642" i="2"/>
  <c r="H644" i="2"/>
  <c r="H640" i="2"/>
  <c r="E591" i="2"/>
  <c r="E593" i="2"/>
  <c r="E595" i="2"/>
  <c r="E590" i="2"/>
  <c r="F595" i="2"/>
  <c r="H585" i="2"/>
  <c r="H581" i="2"/>
  <c r="H582" i="2"/>
  <c r="E554" i="2"/>
  <c r="E552" i="2"/>
  <c r="E555" i="2"/>
  <c r="E553" i="2"/>
  <c r="H545" i="2"/>
  <c r="H540" i="2"/>
  <c r="H541" i="2"/>
  <c r="H543" i="2"/>
  <c r="E510" i="2"/>
  <c r="E512" i="2"/>
  <c r="E515" i="2"/>
  <c r="E513" i="2"/>
  <c r="F515" i="2"/>
  <c r="H501" i="2"/>
  <c r="H503" i="2"/>
  <c r="E473" i="2"/>
  <c r="E475" i="2"/>
  <c r="E474" i="2"/>
  <c r="E472" i="2"/>
  <c r="E476" i="2"/>
  <c r="F476" i="2"/>
  <c r="H466" i="2"/>
  <c r="H464" i="2"/>
  <c r="H462" i="2"/>
  <c r="H463" i="2"/>
  <c r="E431" i="2"/>
  <c r="E436" i="2"/>
  <c r="E435" i="2"/>
  <c r="E433" i="2"/>
  <c r="E432" i="2"/>
  <c r="E434" i="2"/>
  <c r="C423" i="2"/>
  <c r="C421" i="2"/>
  <c r="C426" i="2"/>
  <c r="G426" i="2"/>
  <c r="H416" i="2"/>
  <c r="H412" i="2"/>
  <c r="H411" i="2"/>
  <c r="H414" i="2"/>
  <c r="E382" i="2"/>
  <c r="E381" i="2"/>
  <c r="E385" i="2"/>
  <c r="E383" i="2"/>
  <c r="E384" i="2"/>
  <c r="F386" i="2"/>
  <c r="H374" i="2"/>
  <c r="H376" i="2"/>
  <c r="H373" i="2"/>
  <c r="H372" i="2"/>
  <c r="H371" i="2"/>
  <c r="H375" i="2"/>
  <c r="E312" i="2"/>
  <c r="E313" i="2"/>
  <c r="G316" i="2"/>
  <c r="E315" i="2"/>
  <c r="E314" i="2"/>
  <c r="F316" i="2"/>
  <c r="H291" i="2"/>
  <c r="E276" i="2"/>
  <c r="H661" i="56"/>
  <c r="H448" i="56"/>
  <c r="H452" i="56"/>
  <c r="H450" i="56"/>
  <c r="H453" i="56"/>
  <c r="H202" i="57"/>
  <c r="BS5" i="1"/>
  <c r="BJ33" i="1"/>
  <c r="BL33" i="1"/>
  <c r="BK31" i="1"/>
  <c r="BJ34" i="1"/>
  <c r="BJ14" i="1"/>
  <c r="BL31" i="1"/>
  <c r="BJ13" i="1"/>
  <c r="BK33" i="1"/>
  <c r="BJ32" i="1"/>
  <c r="BJ31" i="1"/>
  <c r="BL27" i="1"/>
  <c r="H550" i="2"/>
  <c r="H555" i="2"/>
  <c r="H552" i="2"/>
  <c r="C374" i="2"/>
  <c r="H561" i="2"/>
  <c r="H563" i="2"/>
  <c r="H564" i="2"/>
  <c r="H565" i="2"/>
  <c r="H712" i="2"/>
  <c r="H700" i="2"/>
  <c r="C660" i="2"/>
  <c r="C661" i="2"/>
  <c r="C663" i="2"/>
  <c r="C662" i="2"/>
  <c r="H651" i="2"/>
  <c r="C603" i="2"/>
  <c r="C604" i="2"/>
  <c r="C601" i="2"/>
  <c r="C561" i="2"/>
  <c r="C563" i="2"/>
  <c r="C565" i="2"/>
  <c r="C564" i="2"/>
  <c r="C562" i="2"/>
  <c r="F565" i="2"/>
  <c r="H553" i="2"/>
  <c r="H551" i="2"/>
  <c r="C521" i="2"/>
  <c r="C520" i="2"/>
  <c r="C525" i="2"/>
  <c r="C523" i="2"/>
  <c r="C524" i="2"/>
  <c r="F525" i="2"/>
  <c r="H512" i="2"/>
  <c r="H514" i="2"/>
  <c r="H513" i="2"/>
  <c r="H515" i="2"/>
  <c r="C482" i="2"/>
  <c r="C483" i="2"/>
  <c r="C481" i="2"/>
  <c r="C480" i="2"/>
  <c r="C485" i="2"/>
  <c r="F485" i="2"/>
  <c r="C444" i="2"/>
  <c r="C443" i="2"/>
  <c r="C446" i="2"/>
  <c r="C441" i="2"/>
  <c r="C442" i="2"/>
  <c r="F446" i="2"/>
  <c r="C392" i="2"/>
  <c r="C393" i="2"/>
  <c r="C395" i="2"/>
  <c r="C396" i="2"/>
  <c r="C394" i="2"/>
  <c r="F396" i="2"/>
  <c r="H385" i="2"/>
  <c r="H382" i="2"/>
  <c r="H386" i="2"/>
  <c r="C333" i="2"/>
  <c r="C336" i="2"/>
  <c r="C331" i="2"/>
  <c r="C335" i="2"/>
  <c r="C334" i="2"/>
  <c r="F326" i="2"/>
  <c r="H314" i="2"/>
  <c r="H312" i="2"/>
  <c r="H281" i="2"/>
  <c r="H285" i="2"/>
  <c r="C276" i="2"/>
  <c r="H275" i="2"/>
  <c r="H271" i="2"/>
  <c r="H273" i="2"/>
  <c r="H274" i="2"/>
  <c r="H189" i="56"/>
  <c r="H577" i="56"/>
  <c r="H582" i="56"/>
  <c r="H579" i="56"/>
  <c r="H581" i="56"/>
  <c r="H521" i="56"/>
  <c r="H517" i="56"/>
  <c r="H519" i="56"/>
  <c r="H520" i="56"/>
  <c r="H518" i="56"/>
  <c r="E151" i="2"/>
  <c r="E154" i="2"/>
  <c r="E149" i="2"/>
  <c r="E152" i="2"/>
  <c r="E150" i="2"/>
  <c r="E148" i="2"/>
  <c r="E153" i="2"/>
  <c r="E147" i="2"/>
  <c r="E694" i="2"/>
  <c r="E690" i="2"/>
  <c r="E693" i="2"/>
  <c r="E692" i="2"/>
  <c r="E695" i="2"/>
  <c r="E643" i="2"/>
  <c r="E640" i="2"/>
  <c r="E642" i="2"/>
  <c r="E641" i="2"/>
  <c r="E644" i="2"/>
  <c r="G635" i="2"/>
  <c r="G625" i="2"/>
  <c r="C545" i="2"/>
  <c r="C542" i="2"/>
  <c r="C544" i="2"/>
  <c r="C543" i="2"/>
  <c r="C540" i="2"/>
  <c r="C541" i="2"/>
  <c r="C500" i="2"/>
  <c r="C502" i="2"/>
  <c r="C505" i="2"/>
  <c r="C501" i="2"/>
  <c r="C504" i="2"/>
  <c r="F505" i="2"/>
  <c r="H494" i="2"/>
  <c r="H495" i="2"/>
  <c r="H490" i="2"/>
  <c r="H492" i="2"/>
  <c r="H456" i="2"/>
  <c r="H453" i="2"/>
  <c r="H454" i="2"/>
  <c r="H451" i="2"/>
  <c r="H452" i="2"/>
  <c r="H403" i="2"/>
  <c r="H406" i="2"/>
  <c r="H401" i="2"/>
  <c r="H405" i="2"/>
  <c r="H361" i="2"/>
  <c r="H363" i="2"/>
  <c r="H365" i="2"/>
  <c r="H366" i="2"/>
  <c r="C264" i="2"/>
  <c r="C265" i="2"/>
  <c r="C263" i="2"/>
  <c r="H250" i="2"/>
  <c r="H255" i="2"/>
  <c r="H252" i="2"/>
  <c r="H251" i="2"/>
  <c r="H241" i="2"/>
  <c r="H245" i="2"/>
  <c r="H242" i="2"/>
  <c r="H244" i="2"/>
  <c r="H259" i="56"/>
  <c r="H261" i="56"/>
  <c r="H193" i="56"/>
  <c r="H192" i="56"/>
  <c r="H188" i="56"/>
  <c r="H262" i="56"/>
  <c r="H271" i="56"/>
  <c r="H100" i="57"/>
  <c r="H103" i="57"/>
  <c r="H104" i="57"/>
  <c r="H101" i="57"/>
  <c r="H99" i="57"/>
  <c r="H573" i="2"/>
  <c r="H240" i="2"/>
  <c r="C262" i="2"/>
  <c r="C411" i="2"/>
  <c r="H710" i="2"/>
  <c r="H713" i="2"/>
  <c r="H715" i="2"/>
  <c r="H714" i="2"/>
  <c r="C671" i="2"/>
  <c r="C673" i="2"/>
  <c r="C672" i="2"/>
  <c r="C674" i="2"/>
  <c r="H675" i="2"/>
  <c r="H670" i="2"/>
  <c r="H673" i="2"/>
  <c r="H671" i="2"/>
  <c r="E614" i="2"/>
  <c r="E611" i="2"/>
  <c r="E612" i="2"/>
  <c r="E615" i="2"/>
  <c r="E610" i="2"/>
  <c r="F615" i="2"/>
  <c r="H605" i="2"/>
  <c r="H602" i="2"/>
  <c r="H603" i="2"/>
  <c r="H601" i="2"/>
  <c r="H600" i="2"/>
  <c r="H604" i="2"/>
  <c r="E570" i="2"/>
  <c r="E573" i="2"/>
  <c r="E574" i="2"/>
  <c r="E571" i="2"/>
  <c r="E575" i="2"/>
  <c r="F575" i="2"/>
  <c r="H560" i="2"/>
  <c r="E534" i="2"/>
  <c r="E530" i="2"/>
  <c r="E532" i="2"/>
  <c r="E531" i="2"/>
  <c r="E533" i="2"/>
  <c r="F535" i="2"/>
  <c r="E495" i="2"/>
  <c r="E490" i="2"/>
  <c r="E494" i="2"/>
  <c r="E493" i="2"/>
  <c r="H483" i="2"/>
  <c r="H485" i="2"/>
  <c r="H481" i="2"/>
  <c r="H484" i="2"/>
  <c r="E451" i="2"/>
  <c r="E454" i="2"/>
  <c r="E456" i="2"/>
  <c r="F456" i="2"/>
  <c r="E405" i="2"/>
  <c r="E402" i="2"/>
  <c r="E401" i="2"/>
  <c r="E406" i="2"/>
  <c r="E403" i="2"/>
  <c r="H394" i="2"/>
  <c r="H391" i="2"/>
  <c r="E362" i="2"/>
  <c r="E361" i="2"/>
  <c r="E363" i="2"/>
  <c r="E364" i="2"/>
  <c r="E366" i="2"/>
  <c r="F366" i="2"/>
  <c r="E250" i="2"/>
  <c r="E252" i="2"/>
  <c r="E255" i="2"/>
  <c r="E251" i="2"/>
  <c r="E253" i="2"/>
  <c r="H253" i="2"/>
  <c r="G234" i="2"/>
  <c r="H659" i="56"/>
  <c r="H602" i="56"/>
  <c r="H599" i="56"/>
  <c r="H600" i="56"/>
  <c r="H598" i="56"/>
  <c r="H601" i="56"/>
  <c r="H597" i="56"/>
  <c r="E202" i="56"/>
  <c r="E198" i="56"/>
  <c r="E197" i="56"/>
  <c r="E199" i="56"/>
  <c r="E201" i="56"/>
  <c r="G231" i="56"/>
  <c r="H310" i="56"/>
  <c r="H312" i="56"/>
  <c r="C398" i="56"/>
  <c r="C401" i="56"/>
  <c r="C402" i="56"/>
  <c r="C403" i="56"/>
  <c r="C400" i="56"/>
  <c r="C399" i="56"/>
  <c r="G413" i="56"/>
  <c r="H408" i="56" s="1"/>
  <c r="G422" i="56"/>
  <c r="B423" i="56"/>
  <c r="E443" i="56"/>
  <c r="E442" i="56"/>
  <c r="E439" i="56"/>
  <c r="E438" i="56"/>
  <c r="E441" i="56"/>
  <c r="E440" i="56"/>
  <c r="H449" i="56"/>
  <c r="H451" i="56"/>
  <c r="G463" i="56"/>
  <c r="G542" i="56"/>
  <c r="H539" i="56"/>
  <c r="G552" i="56"/>
  <c r="H548" i="56" s="1"/>
  <c r="E572" i="56"/>
  <c r="E571" i="56"/>
  <c r="E568" i="56"/>
  <c r="E569" i="56"/>
  <c r="E567" i="56"/>
  <c r="H578" i="56"/>
  <c r="H580" i="56"/>
  <c r="H619" i="56"/>
  <c r="H621" i="56"/>
  <c r="H622" i="56"/>
  <c r="H618" i="56"/>
  <c r="H617" i="56"/>
  <c r="H649" i="56"/>
  <c r="H651" i="56"/>
  <c r="H648" i="56"/>
  <c r="H647" i="56"/>
  <c r="G125" i="2"/>
  <c r="H125" i="56"/>
  <c r="G129" i="2"/>
  <c r="H129" i="56"/>
  <c r="G129" i="57"/>
  <c r="H570" i="56"/>
  <c r="H572" i="56"/>
  <c r="H182" i="56"/>
  <c r="C207" i="56"/>
  <c r="C211" i="56"/>
  <c r="C210" i="56"/>
  <c r="C208" i="56"/>
  <c r="C218" i="56"/>
  <c r="C220" i="56"/>
  <c r="C219" i="56"/>
  <c r="H239" i="56"/>
  <c r="E241" i="56"/>
  <c r="E237" i="56"/>
  <c r="H260" i="56"/>
  <c r="E261" i="56"/>
  <c r="E262" i="56"/>
  <c r="C282" i="56"/>
  <c r="C278" i="56"/>
  <c r="F293" i="56"/>
  <c r="C310" i="56"/>
  <c r="C312" i="56"/>
  <c r="C362" i="56"/>
  <c r="C360" i="56"/>
  <c r="C358" i="56"/>
  <c r="C430" i="56"/>
  <c r="C432" i="56"/>
  <c r="C433" i="56"/>
  <c r="H439" i="56"/>
  <c r="H441" i="56"/>
  <c r="E677" i="56"/>
  <c r="E679" i="56"/>
  <c r="H690" i="56"/>
  <c r="H182" i="57"/>
  <c r="E169" i="57"/>
  <c r="E170" i="57"/>
  <c r="E173" i="57"/>
  <c r="E174" i="57"/>
  <c r="E171" i="57"/>
  <c r="G154" i="2"/>
  <c r="AL23" i="61"/>
  <c r="AH23" i="61"/>
  <c r="AF23" i="61"/>
  <c r="AJ23" i="61"/>
  <c r="H207" i="56"/>
  <c r="E219" i="56"/>
  <c r="E221" i="56"/>
  <c r="H641" i="2"/>
  <c r="H592" i="2"/>
  <c r="G326" i="2"/>
  <c r="H323" i="2" s="1"/>
  <c r="C322" i="2"/>
  <c r="H491" i="2"/>
  <c r="H480" i="2"/>
  <c r="C625" i="2"/>
  <c r="C655" i="2"/>
  <c r="C284" i="2"/>
  <c r="H500" i="2"/>
  <c r="G525" i="2"/>
  <c r="H520" i="2" s="1"/>
  <c r="H362" i="2"/>
  <c r="C712" i="2"/>
  <c r="C710" i="2"/>
  <c r="H272" i="2"/>
  <c r="C231" i="2"/>
  <c r="E244" i="2"/>
  <c r="C653" i="2"/>
  <c r="H669" i="56"/>
  <c r="H238" i="56"/>
  <c r="H568" i="56"/>
  <c r="H199" i="56"/>
  <c r="H571" i="56"/>
  <c r="H161" i="56"/>
  <c r="H443" i="56"/>
  <c r="H689" i="56"/>
  <c r="H179" i="56"/>
  <c r="G252" i="56"/>
  <c r="H249" i="56" s="1"/>
  <c r="H237" i="56"/>
  <c r="E220" i="56"/>
  <c r="G323" i="56"/>
  <c r="H320" i="56" s="1"/>
  <c r="C320" i="56"/>
  <c r="C318" i="56"/>
  <c r="C319" i="56"/>
  <c r="C323" i="56"/>
  <c r="C308" i="56"/>
  <c r="G283" i="56"/>
  <c r="H280" i="56" s="1"/>
  <c r="H561" i="56"/>
  <c r="H557" i="56"/>
  <c r="H559" i="56"/>
  <c r="C206" i="56"/>
  <c r="H269" i="56"/>
  <c r="E258" i="56"/>
  <c r="H165" i="56"/>
  <c r="H190" i="56"/>
  <c r="C189" i="56"/>
  <c r="C188" i="56"/>
  <c r="C190" i="56"/>
  <c r="H198" i="56"/>
  <c r="F211" i="56"/>
  <c r="E216" i="56"/>
  <c r="H229" i="56"/>
  <c r="F252" i="56"/>
  <c r="C248" i="56"/>
  <c r="C251" i="56"/>
  <c r="C252" i="56"/>
  <c r="H281" i="56"/>
  <c r="E278" i="56"/>
  <c r="E279" i="56"/>
  <c r="E280" i="56"/>
  <c r="E312" i="56"/>
  <c r="E310" i="56"/>
  <c r="H319" i="56"/>
  <c r="E359" i="56"/>
  <c r="E360" i="56"/>
  <c r="H371" i="56"/>
  <c r="C370" i="56"/>
  <c r="C371" i="56"/>
  <c r="C368" i="56"/>
  <c r="C373" i="56"/>
  <c r="E382" i="56"/>
  <c r="E378" i="56"/>
  <c r="H391" i="56"/>
  <c r="C389" i="56"/>
  <c r="C393" i="56"/>
  <c r="G403" i="56"/>
  <c r="H401" i="56" s="1"/>
  <c r="E423" i="56"/>
  <c r="E418" i="56"/>
  <c r="E420" i="56"/>
  <c r="E419" i="56"/>
  <c r="H428" i="56"/>
  <c r="H430" i="56"/>
  <c r="H432" i="56"/>
  <c r="C463" i="56"/>
  <c r="C461" i="56"/>
  <c r="H470" i="56"/>
  <c r="H472" i="56"/>
  <c r="E468" i="56"/>
  <c r="E470" i="56"/>
  <c r="E469" i="56"/>
  <c r="E471" i="56"/>
  <c r="H478" i="56"/>
  <c r="H492" i="56"/>
  <c r="H490" i="56"/>
  <c r="H499" i="56"/>
  <c r="H497" i="56"/>
  <c r="E631" i="56"/>
  <c r="E632" i="56"/>
  <c r="E627" i="56"/>
  <c r="E629" i="56"/>
  <c r="E628" i="56"/>
  <c r="H640" i="56"/>
  <c r="E662" i="56"/>
  <c r="E657" i="56"/>
  <c r="E660" i="56"/>
  <c r="E669" i="56"/>
  <c r="E672" i="56"/>
  <c r="E671" i="56"/>
  <c r="C700" i="56"/>
  <c r="C699" i="56"/>
  <c r="C701" i="56"/>
  <c r="G712" i="56"/>
  <c r="H708" i="56" s="1"/>
  <c r="H207" i="57"/>
  <c r="H218" i="57"/>
  <c r="C173" i="56"/>
  <c r="C170" i="56"/>
  <c r="C174" i="56"/>
  <c r="C172" i="56"/>
  <c r="C171" i="56"/>
  <c r="H173" i="57"/>
  <c r="H141" i="57"/>
  <c r="H137" i="57"/>
  <c r="H136" i="57"/>
  <c r="H135" i="57"/>
  <c r="H139" i="57"/>
  <c r="H44" i="2"/>
  <c r="H46" i="2"/>
  <c r="H43" i="2"/>
  <c r="H40" i="2"/>
  <c r="C325" i="2"/>
  <c r="H442" i="2"/>
  <c r="H444" i="2"/>
  <c r="C285" i="2"/>
  <c r="C711" i="2"/>
  <c r="C715" i="2"/>
  <c r="E240" i="2"/>
  <c r="H383" i="56"/>
  <c r="H242" i="56"/>
  <c r="H200" i="56"/>
  <c r="H361" i="56"/>
  <c r="H208" i="56"/>
  <c r="H359" i="56"/>
  <c r="H479" i="56"/>
  <c r="H480" i="56"/>
  <c r="C322" i="56"/>
  <c r="C321" i="56"/>
  <c r="H178" i="57"/>
  <c r="H183" i="56"/>
  <c r="E680" i="56"/>
  <c r="E242" i="56"/>
  <c r="E217" i="56"/>
  <c r="C363" i="56"/>
  <c r="C268" i="56"/>
  <c r="C273" i="56" s="1"/>
  <c r="C281" i="56"/>
  <c r="C311" i="56"/>
  <c r="C250" i="56"/>
  <c r="E681" i="56"/>
  <c r="C359" i="56"/>
  <c r="C227" i="56"/>
  <c r="C217" i="56"/>
  <c r="E309" i="56"/>
  <c r="E313" i="56" s="1"/>
  <c r="C192" i="56"/>
  <c r="C191" i="56"/>
  <c r="C549" i="56"/>
  <c r="C552" i="56"/>
  <c r="C547" i="56"/>
  <c r="C580" i="56"/>
  <c r="C578" i="56"/>
  <c r="C582" i="56"/>
  <c r="G592" i="56"/>
  <c r="H587" i="56"/>
  <c r="C617" i="56"/>
  <c r="C621" i="56"/>
  <c r="C620" i="56"/>
  <c r="G632" i="56"/>
  <c r="H627" i="56" s="1"/>
  <c r="E639" i="56"/>
  <c r="E642" i="56"/>
  <c r="E641" i="56"/>
  <c r="E637" i="56"/>
  <c r="E172" i="57"/>
  <c r="H171" i="57"/>
  <c r="H174" i="57"/>
  <c r="H170" i="57"/>
  <c r="E153" i="57"/>
  <c r="E149" i="57"/>
  <c r="E150" i="57"/>
  <c r="E148" i="57"/>
  <c r="E151" i="57"/>
  <c r="E146" i="57"/>
  <c r="H130" i="56"/>
  <c r="G130" i="2"/>
  <c r="H127" i="2" s="1"/>
  <c r="H124" i="56"/>
  <c r="H123" i="56"/>
  <c r="H127" i="56"/>
  <c r="H124" i="2"/>
  <c r="E76" i="57"/>
  <c r="E78" i="57"/>
  <c r="E81" i="57"/>
  <c r="E80" i="57"/>
  <c r="E79" i="57"/>
  <c r="E77" i="57"/>
  <c r="H102" i="57"/>
  <c r="G90" i="2"/>
  <c r="G91" i="2"/>
  <c r="G106" i="56"/>
  <c r="H103" i="56" s="1"/>
  <c r="G99" i="2"/>
  <c r="G103" i="2"/>
  <c r="G66" i="2"/>
  <c r="E55" i="56"/>
  <c r="E51" i="56"/>
  <c r="E52" i="56"/>
  <c r="E58" i="56"/>
  <c r="E54" i="56"/>
  <c r="E57" i="56"/>
  <c r="E56" i="56"/>
  <c r="E53" i="56"/>
  <c r="G58" i="57"/>
  <c r="H53" i="57" s="1"/>
  <c r="H510" i="56"/>
  <c r="H508" i="56"/>
  <c r="H509" i="56"/>
  <c r="H529" i="56"/>
  <c r="C560" i="56"/>
  <c r="C561" i="56"/>
  <c r="C558" i="56"/>
  <c r="C600" i="56"/>
  <c r="C601" i="56"/>
  <c r="C602" i="56"/>
  <c r="H609" i="56"/>
  <c r="E607" i="56"/>
  <c r="E608" i="56"/>
  <c r="C689" i="56"/>
  <c r="C687" i="56"/>
  <c r="C160" i="57"/>
  <c r="G165" i="57"/>
  <c r="H162" i="57" s="1"/>
  <c r="C188" i="57"/>
  <c r="C192" i="57"/>
  <c r="E200" i="57"/>
  <c r="E197" i="57"/>
  <c r="E202" i="57" s="1"/>
  <c r="H208" i="57"/>
  <c r="C208" i="57"/>
  <c r="C206" i="57"/>
  <c r="H219" i="57"/>
  <c r="E139" i="57"/>
  <c r="E134" i="57"/>
  <c r="E136" i="57"/>
  <c r="C136" i="56"/>
  <c r="C138" i="56"/>
  <c r="G142" i="56"/>
  <c r="H136" i="56" s="1"/>
  <c r="C140" i="56"/>
  <c r="C142" i="56"/>
  <c r="E129" i="2"/>
  <c r="E128" i="2"/>
  <c r="G126" i="2"/>
  <c r="H126" i="2" s="1"/>
  <c r="H126" i="56"/>
  <c r="C106" i="57"/>
  <c r="H80" i="57"/>
  <c r="H76" i="57"/>
  <c r="H79" i="57"/>
  <c r="H75" i="57"/>
  <c r="C90" i="57"/>
  <c r="C88" i="57"/>
  <c r="C92" i="57"/>
  <c r="C87" i="57"/>
  <c r="G94" i="56"/>
  <c r="H91" i="56" s="1"/>
  <c r="C88" i="56"/>
  <c r="C89" i="56"/>
  <c r="C90" i="56"/>
  <c r="C91" i="56"/>
  <c r="C87" i="56"/>
  <c r="C68" i="56"/>
  <c r="B70" i="2"/>
  <c r="C66" i="56"/>
  <c r="C64" i="56"/>
  <c r="C69" i="56"/>
  <c r="C70" i="56"/>
  <c r="C63" i="56"/>
  <c r="C67" i="56"/>
  <c r="G70" i="57"/>
  <c r="G63" i="2"/>
  <c r="H63" i="57"/>
  <c r="G67" i="2"/>
  <c r="H67" i="57"/>
  <c r="C70" i="57"/>
  <c r="C68" i="57"/>
  <c r="C64" i="57"/>
  <c r="C63" i="57"/>
  <c r="C65" i="57"/>
  <c r="H52" i="56"/>
  <c r="H58" i="56"/>
  <c r="H56" i="56"/>
  <c r="H51" i="56"/>
  <c r="H55" i="56"/>
  <c r="H57" i="56"/>
  <c r="C34" i="57"/>
  <c r="H17" i="56"/>
  <c r="H21" i="56"/>
  <c r="H17" i="57"/>
  <c r="H512" i="56"/>
  <c r="C499" i="56"/>
  <c r="C164" i="57"/>
  <c r="C161" i="57"/>
  <c r="C210" i="57"/>
  <c r="C209" i="57"/>
  <c r="C599" i="56"/>
  <c r="E649" i="56"/>
  <c r="C690" i="56"/>
  <c r="C692" i="56"/>
  <c r="E511" i="56"/>
  <c r="E528" i="56"/>
  <c r="E527" i="56"/>
  <c r="C159" i="57"/>
  <c r="E216" i="57"/>
  <c r="E219" i="57"/>
  <c r="H162" i="56"/>
  <c r="C166" i="56"/>
  <c r="C164" i="56"/>
  <c r="C163" i="56"/>
  <c r="C165" i="56"/>
  <c r="E191" i="56"/>
  <c r="E193" i="56"/>
  <c r="C289" i="56"/>
  <c r="C291" i="56"/>
  <c r="F323" i="56"/>
  <c r="E409" i="56"/>
  <c r="E412" i="56"/>
  <c r="G423" i="56"/>
  <c r="C450" i="56"/>
  <c r="C453" i="56"/>
  <c r="C451" i="56"/>
  <c r="C449" i="56"/>
  <c r="E542" i="56"/>
  <c r="E538" i="56"/>
  <c r="E541" i="56"/>
  <c r="E539" i="56"/>
  <c r="H560" i="56"/>
  <c r="E592" i="56"/>
  <c r="E588" i="56"/>
  <c r="E590" i="56"/>
  <c r="C662" i="56"/>
  <c r="C657" i="56"/>
  <c r="H680" i="56"/>
  <c r="E181" i="57"/>
  <c r="E180" i="57"/>
  <c r="E178" i="57"/>
  <c r="G192" i="57"/>
  <c r="H189" i="57" s="1"/>
  <c r="H171" i="56"/>
  <c r="H173" i="56"/>
  <c r="C147" i="56"/>
  <c r="G154" i="56"/>
  <c r="H151" i="56" s="1"/>
  <c r="C151" i="56"/>
  <c r="C148" i="56"/>
  <c r="E135" i="57"/>
  <c r="C141" i="56"/>
  <c r="H139" i="56"/>
  <c r="E123" i="2"/>
  <c r="B130" i="2"/>
  <c r="C123" i="56"/>
  <c r="C127" i="56"/>
  <c r="C130" i="56"/>
  <c r="H123" i="2"/>
  <c r="G111" i="2"/>
  <c r="H111" i="56"/>
  <c r="G117" i="57"/>
  <c r="H116" i="57" s="1"/>
  <c r="H77" i="57"/>
  <c r="G88" i="2"/>
  <c r="E70" i="56"/>
  <c r="H54" i="56"/>
  <c r="C41" i="57"/>
  <c r="C44" i="57"/>
  <c r="C45" i="57"/>
  <c r="C39" i="57"/>
  <c r="C46" i="57"/>
  <c r="C42" i="57"/>
  <c r="H41" i="2"/>
  <c r="C34" i="56"/>
  <c r="C28" i="56"/>
  <c r="C32" i="56"/>
  <c r="C30" i="56"/>
  <c r="C31" i="56"/>
  <c r="C29" i="56"/>
  <c r="H27" i="2"/>
  <c r="G34" i="2"/>
  <c r="H18" i="56"/>
  <c r="BR30" i="1"/>
  <c r="C9" i="2"/>
  <c r="B10" i="2"/>
  <c r="G9" i="2"/>
  <c r="G117" i="2"/>
  <c r="H117" i="56"/>
  <c r="H75" i="56"/>
  <c r="H79" i="56"/>
  <c r="G82" i="2"/>
  <c r="H75" i="2" s="1"/>
  <c r="C101" i="56"/>
  <c r="C104" i="56"/>
  <c r="C99" i="56"/>
  <c r="C100" i="56"/>
  <c r="C105" i="56"/>
  <c r="G58" i="2"/>
  <c r="C56" i="57"/>
  <c r="C58" i="57"/>
  <c r="C53" i="57"/>
  <c r="C55" i="57"/>
  <c r="C51" i="57"/>
  <c r="H41" i="57"/>
  <c r="H44" i="57"/>
  <c r="H45" i="57"/>
  <c r="H46" i="57"/>
  <c r="H39" i="57"/>
  <c r="H43" i="57"/>
  <c r="C30" i="57"/>
  <c r="C32" i="57"/>
  <c r="C27" i="57"/>
  <c r="C29" i="57"/>
  <c r="C28" i="57"/>
  <c r="C33" i="57"/>
  <c r="H42" i="2"/>
  <c r="H22" i="56"/>
  <c r="H16" i="56"/>
  <c r="H15" i="56"/>
  <c r="H19" i="56"/>
  <c r="H21" i="57"/>
  <c r="H22" i="57"/>
  <c r="H20" i="57"/>
  <c r="H15" i="57"/>
  <c r="H19" i="57"/>
  <c r="H18" i="57"/>
  <c r="E22" i="2"/>
  <c r="E16" i="2"/>
  <c r="E15" i="2"/>
  <c r="E21" i="2"/>
  <c r="E17" i="2"/>
  <c r="E18" i="2"/>
  <c r="E20" i="2"/>
  <c r="E19" i="2"/>
  <c r="G10" i="56"/>
  <c r="H7" i="56" s="1"/>
  <c r="W27" i="59"/>
  <c r="W33" i="59"/>
  <c r="BT27" i="58"/>
  <c r="BT32" i="58"/>
  <c r="BN17" i="1"/>
  <c r="BN15" i="1"/>
  <c r="BN16" i="1"/>
  <c r="BN9" i="1"/>
  <c r="BH16" i="1"/>
  <c r="BH17" i="1"/>
  <c r="BH15" i="1"/>
  <c r="BQ29" i="1"/>
  <c r="C15" i="2"/>
  <c r="G15" i="2"/>
  <c r="BK29" i="1"/>
  <c r="B94" i="2"/>
  <c r="G115" i="2"/>
  <c r="H115" i="56"/>
  <c r="C117" i="2"/>
  <c r="C114" i="2"/>
  <c r="C113" i="2"/>
  <c r="E106" i="2"/>
  <c r="H81" i="57"/>
  <c r="G76" i="2"/>
  <c r="H76" i="56"/>
  <c r="H80" i="56"/>
  <c r="D82" i="2"/>
  <c r="E81" i="56"/>
  <c r="E79" i="56"/>
  <c r="E78" i="56"/>
  <c r="E76" i="56"/>
  <c r="H89" i="56"/>
  <c r="G34" i="57"/>
  <c r="H27" i="57" s="1"/>
  <c r="H45" i="2"/>
  <c r="C39" i="56"/>
  <c r="C45" i="56"/>
  <c r="C41" i="56"/>
  <c r="C46" i="56"/>
  <c r="C44" i="56"/>
  <c r="C40" i="56"/>
  <c r="G34" i="56"/>
  <c r="H27" i="56" s="1"/>
  <c r="H28" i="2"/>
  <c r="C19" i="57"/>
  <c r="C22" i="57"/>
  <c r="C16" i="57"/>
  <c r="C21" i="57"/>
  <c r="C18" i="57"/>
  <c r="C20" i="57"/>
  <c r="C15" i="57"/>
  <c r="C21" i="2"/>
  <c r="C18" i="2"/>
  <c r="C16" i="2"/>
  <c r="C22" i="2"/>
  <c r="C20" i="2"/>
  <c r="H10" i="57"/>
  <c r="H4" i="57"/>
  <c r="H7" i="57"/>
  <c r="H8" i="57"/>
  <c r="H5" i="57"/>
  <c r="E430" i="56"/>
  <c r="C537" i="56"/>
  <c r="G153" i="57"/>
  <c r="H150" i="57" s="1"/>
  <c r="E142" i="56"/>
  <c r="G113" i="2"/>
  <c r="H113" i="56"/>
  <c r="E117" i="57"/>
  <c r="E114" i="57"/>
  <c r="E113" i="57"/>
  <c r="E115" i="57"/>
  <c r="D118" i="2"/>
  <c r="C99" i="2"/>
  <c r="C104" i="2"/>
  <c r="H78" i="2"/>
  <c r="H105" i="57"/>
  <c r="G94" i="57"/>
  <c r="H90" i="57" s="1"/>
  <c r="H78" i="57"/>
  <c r="G77" i="2"/>
  <c r="G81" i="2"/>
  <c r="H81" i="56"/>
  <c r="F82" i="2"/>
  <c r="G102" i="2"/>
  <c r="G70" i="56"/>
  <c r="H65" i="56" s="1"/>
  <c r="H42" i="57"/>
  <c r="C42" i="56"/>
  <c r="G46" i="56"/>
  <c r="H42" i="56" s="1"/>
  <c r="H28" i="56"/>
  <c r="E22" i="56"/>
  <c r="E16" i="56"/>
  <c r="E15" i="56"/>
  <c r="E20" i="56"/>
  <c r="E18" i="56"/>
  <c r="E17" i="56"/>
  <c r="H16" i="57"/>
  <c r="C17" i="2"/>
  <c r="C4" i="56"/>
  <c r="H8" i="56"/>
  <c r="E9" i="57"/>
  <c r="E5" i="57"/>
  <c r="E4" i="57"/>
  <c r="E8" i="57"/>
  <c r="E7" i="57"/>
  <c r="E6" i="57"/>
  <c r="W13" i="59"/>
  <c r="W14" i="59"/>
  <c r="BT13" i="58"/>
  <c r="BT14" i="58"/>
  <c r="BK15" i="1"/>
  <c r="BJ17" i="1"/>
  <c r="BJ15" i="1"/>
  <c r="BJ16" i="1"/>
  <c r="G8" i="2"/>
  <c r="C8" i="2"/>
  <c r="C4" i="2"/>
  <c r="BH31" i="1"/>
  <c r="BH18" i="1"/>
  <c r="BO32" i="1"/>
  <c r="BM32" i="1"/>
  <c r="BH32" i="1"/>
  <c r="BO34" i="1"/>
  <c r="BO9" i="1"/>
  <c r="BS11" i="1"/>
  <c r="BK34" i="1"/>
  <c r="BK9" i="1"/>
  <c r="BH9" i="1"/>
  <c r="C31" i="2"/>
  <c r="AL15" i="61"/>
  <c r="AJ18" i="61"/>
  <c r="H9" i="57"/>
  <c r="W9" i="59"/>
  <c r="W17" i="59"/>
  <c r="W30" i="59"/>
  <c r="BT9" i="58"/>
  <c r="BT17" i="58"/>
  <c r="BT29" i="58"/>
  <c r="C7" i="2"/>
  <c r="BN29" i="1"/>
  <c r="B58" i="2"/>
  <c r="D46" i="2"/>
  <c r="BK32" i="1"/>
  <c r="BI32" i="1"/>
  <c r="BR33" i="1"/>
  <c r="BQ31" i="1"/>
  <c r="BP34" i="1"/>
  <c r="BQ33" i="1"/>
  <c r="BR31" i="1"/>
  <c r="BN33" i="1"/>
  <c r="BM31" i="1"/>
  <c r="BL34" i="1"/>
  <c r="C33" i="2"/>
  <c r="AL10" i="61"/>
  <c r="AJ15" i="61"/>
  <c r="C10" i="56"/>
  <c r="C8" i="56"/>
  <c r="C6" i="56"/>
  <c r="C3" i="56"/>
  <c r="C5" i="56"/>
  <c r="H6" i="57"/>
  <c r="W29" i="59"/>
  <c r="W34" i="59"/>
  <c r="BT28" i="58"/>
  <c r="BT33" i="58"/>
  <c r="F10" i="2"/>
  <c r="BK16" i="1"/>
  <c r="BR17" i="1"/>
  <c r="BR15" i="1"/>
  <c r="BR16" i="1"/>
  <c r="BK17" i="1"/>
  <c r="BH28" i="1"/>
  <c r="BO29" i="1"/>
  <c r="B46" i="2"/>
  <c r="BJ29" i="1"/>
  <c r="BH29" i="1"/>
  <c r="BR32" i="1"/>
  <c r="D10" i="2"/>
  <c r="E3" i="2" s="1"/>
  <c r="BL32" i="1"/>
  <c r="BQ34" i="1"/>
  <c r="BQ9" i="1"/>
  <c r="BM34" i="1"/>
  <c r="BM9" i="1"/>
  <c r="BL14" i="1"/>
  <c r="C3" i="2"/>
  <c r="G7" i="2"/>
  <c r="BS8" i="1"/>
  <c r="BP9" i="1"/>
  <c r="BL9" i="1"/>
  <c r="BS12" i="1"/>
  <c r="BP13" i="1"/>
  <c r="BL13" i="1"/>
  <c r="BP15" i="1"/>
  <c r="BL15" i="1"/>
  <c r="BQ27" i="1"/>
  <c r="BM27" i="1"/>
  <c r="BK27" i="1"/>
  <c r="BQ28" i="1"/>
  <c r="BM28" i="1"/>
  <c r="BK28" i="1"/>
  <c r="BN30" i="1"/>
  <c r="G3" i="2"/>
  <c r="BP28" i="1"/>
  <c r="AL12" i="61"/>
  <c r="AL14" i="61"/>
  <c r="AJ3" i="61"/>
  <c r="AJ12" i="61"/>
  <c r="AJ44" i="61"/>
  <c r="AH14" i="61"/>
  <c r="AF3" i="61"/>
  <c r="AF44" i="61"/>
  <c r="AF18" i="61"/>
  <c r="AF14" i="61"/>
  <c r="AF12" i="61"/>
  <c r="AH44" i="61"/>
  <c r="AH18" i="61"/>
  <c r="H370" i="56" l="1"/>
  <c r="H368" i="56"/>
  <c r="H369" i="56"/>
  <c r="H372" i="56"/>
  <c r="H373" i="56"/>
  <c r="H681" i="56"/>
  <c r="H682" i="56"/>
  <c r="H678" i="56"/>
  <c r="H679" i="56"/>
  <c r="H677" i="56"/>
  <c r="H88" i="56"/>
  <c r="H263" i="56"/>
  <c r="H415" i="2"/>
  <c r="H500" i="56"/>
  <c r="H382" i="56"/>
  <c r="H379" i="56"/>
  <c r="G293" i="56"/>
  <c r="C290" i="56"/>
  <c r="C288" i="56"/>
  <c r="C293" i="56" s="1"/>
  <c r="E283" i="56"/>
  <c r="E94" i="57"/>
  <c r="E675" i="2"/>
  <c r="E671" i="2"/>
  <c r="E672" i="2"/>
  <c r="E674" i="2"/>
  <c r="E670" i="2"/>
  <c r="E673" i="2"/>
  <c r="H443" i="2"/>
  <c r="E106" i="56"/>
  <c r="C82" i="2"/>
  <c r="C292" i="56"/>
  <c r="H384" i="2"/>
  <c r="H31" i="57"/>
  <c r="H92" i="57"/>
  <c r="H146" i="57"/>
  <c r="H152" i="57"/>
  <c r="H211" i="57"/>
  <c r="H251" i="56"/>
  <c r="H583" i="2"/>
  <c r="H580" i="2"/>
  <c r="H584" i="2"/>
  <c r="H396" i="2"/>
  <c r="H392" i="2"/>
  <c r="H639" i="56"/>
  <c r="H641" i="56"/>
  <c r="H637" i="56"/>
  <c r="H642" i="56"/>
  <c r="H674" i="2"/>
  <c r="E82" i="56"/>
  <c r="H202" i="56"/>
  <c r="C286" i="2"/>
  <c r="BS33" i="1"/>
  <c r="BS34" i="1"/>
  <c r="E65" i="2"/>
  <c r="E66" i="2"/>
  <c r="E69" i="2"/>
  <c r="E68" i="2"/>
  <c r="E70" i="2"/>
  <c r="E63" i="2"/>
  <c r="E67" i="2"/>
  <c r="E659" i="56"/>
  <c r="E661" i="56"/>
  <c r="E658" i="56"/>
  <c r="H465" i="2"/>
  <c r="H645" i="2"/>
  <c r="H643" i="2"/>
  <c r="H112" i="56"/>
  <c r="H114" i="56"/>
  <c r="H118" i="56"/>
  <c r="H116" i="56"/>
  <c r="E126" i="2"/>
  <c r="E127" i="2"/>
  <c r="E125" i="2"/>
  <c r="E124" i="2"/>
  <c r="E130" i="2"/>
  <c r="H393" i="2"/>
  <c r="H638" i="56"/>
  <c r="H388" i="56"/>
  <c r="H392" i="56"/>
  <c r="H390" i="56"/>
  <c r="H393" i="56"/>
  <c r="E7" i="2"/>
  <c r="E9" i="2"/>
  <c r="H31" i="56"/>
  <c r="H550" i="56"/>
  <c r="H410" i="56"/>
  <c r="H680" i="2"/>
  <c r="E53" i="2"/>
  <c r="E52" i="2"/>
  <c r="E58" i="2"/>
  <c r="E51" i="2"/>
  <c r="BN19" i="1"/>
  <c r="BN31" i="1" s="1"/>
  <c r="E57" i="2"/>
  <c r="E56" i="2"/>
  <c r="E55" i="2"/>
  <c r="E54" i="2"/>
  <c r="E64" i="2"/>
  <c r="H652" i="56"/>
  <c r="H650" i="56"/>
  <c r="H698" i="56"/>
  <c r="H702" i="56"/>
  <c r="H700" i="56"/>
  <c r="H697" i="56"/>
  <c r="H701" i="56"/>
  <c r="H699" i="56"/>
  <c r="H502" i="2"/>
  <c r="H505" i="2"/>
  <c r="H504" i="2"/>
  <c r="E94" i="56"/>
  <c r="H395" i="2"/>
  <c r="H510" i="2"/>
  <c r="H511" i="2"/>
  <c r="C424" i="2"/>
  <c r="C422" i="2"/>
  <c r="H532" i="2"/>
  <c r="H535" i="2"/>
  <c r="H530" i="2"/>
  <c r="H431" i="56"/>
  <c r="H311" i="56"/>
  <c r="H308" i="56"/>
  <c r="H534" i="2"/>
  <c r="H93" i="57"/>
  <c r="H57" i="57"/>
  <c r="E82" i="57"/>
  <c r="H129" i="2"/>
  <c r="E316" i="2"/>
  <c r="C296" i="2"/>
  <c r="H78" i="56"/>
  <c r="H77" i="56"/>
  <c r="H542" i="2"/>
  <c r="H544" i="2"/>
  <c r="E87" i="2"/>
  <c r="E90" i="2"/>
  <c r="E89" i="2"/>
  <c r="E91" i="2"/>
  <c r="E93" i="2"/>
  <c r="E88" i="2"/>
  <c r="E92" i="2"/>
  <c r="H528" i="56"/>
  <c r="H532" i="56"/>
  <c r="H531" i="56"/>
  <c r="H530" i="56"/>
  <c r="H612" i="2"/>
  <c r="H615" i="2"/>
  <c r="H613" i="2"/>
  <c r="H502" i="56"/>
  <c r="H501" i="56"/>
  <c r="H429" i="56"/>
  <c r="G221" i="56"/>
  <c r="H216" i="56" s="1"/>
  <c r="H610" i="2"/>
  <c r="BS17" i="1"/>
  <c r="H418" i="56"/>
  <c r="H423" i="56"/>
  <c r="H420" i="56"/>
  <c r="H421" i="56"/>
  <c r="H419" i="56"/>
  <c r="G106" i="2"/>
  <c r="H99" i="2" s="1"/>
  <c r="H154" i="2"/>
  <c r="H149" i="2"/>
  <c r="H152" i="2"/>
  <c r="H148" i="2"/>
  <c r="C420" i="56"/>
  <c r="C419" i="56"/>
  <c r="C418" i="56"/>
  <c r="C423" i="56"/>
  <c r="C421" i="56"/>
  <c r="H229" i="2"/>
  <c r="H234" i="2"/>
  <c r="H233" i="2"/>
  <c r="H232" i="2"/>
  <c r="H631" i="2"/>
  <c r="H635" i="2"/>
  <c r="H633" i="2"/>
  <c r="H634" i="2"/>
  <c r="C93" i="2"/>
  <c r="C92" i="2"/>
  <c r="C89" i="2"/>
  <c r="C90" i="2"/>
  <c r="C87" i="2"/>
  <c r="C91" i="2"/>
  <c r="C88" i="2"/>
  <c r="BS16" i="1"/>
  <c r="H56" i="2"/>
  <c r="H51" i="2"/>
  <c r="H52" i="2"/>
  <c r="H57" i="2"/>
  <c r="H58" i="2"/>
  <c r="H53" i="2"/>
  <c r="H187" i="57"/>
  <c r="H192" i="57"/>
  <c r="H191" i="57"/>
  <c r="H188" i="57"/>
  <c r="H100" i="56"/>
  <c r="H101" i="56"/>
  <c r="H102" i="56"/>
  <c r="H104" i="56"/>
  <c r="H105" i="56"/>
  <c r="H540" i="56"/>
  <c r="H538" i="56"/>
  <c r="H542" i="56"/>
  <c r="H537" i="56"/>
  <c r="H422" i="56"/>
  <c r="H230" i="2"/>
  <c r="H625" i="2"/>
  <c r="H621" i="2"/>
  <c r="H624" i="2"/>
  <c r="H622" i="2"/>
  <c r="H620" i="2"/>
  <c r="H151" i="2"/>
  <c r="H276" i="2"/>
  <c r="H426" i="2"/>
  <c r="H422" i="2"/>
  <c r="H424" i="2"/>
  <c r="H655" i="2"/>
  <c r="H654" i="2"/>
  <c r="H653" i="2"/>
  <c r="H650" i="2"/>
  <c r="BS13" i="1"/>
  <c r="BS30" i="1"/>
  <c r="G10" i="2"/>
  <c r="H3" i="2" s="1"/>
  <c r="BS29" i="1"/>
  <c r="C55" i="2"/>
  <c r="C58" i="2"/>
  <c r="C51" i="2"/>
  <c r="C57" i="2"/>
  <c r="C53" i="2"/>
  <c r="BN20" i="1"/>
  <c r="C56" i="2"/>
  <c r="C54" i="2"/>
  <c r="C52" i="2"/>
  <c r="BH27" i="1"/>
  <c r="H28" i="57"/>
  <c r="H69" i="56"/>
  <c r="H67" i="56"/>
  <c r="H66" i="56"/>
  <c r="H63" i="56"/>
  <c r="H64" i="56"/>
  <c r="G70" i="2"/>
  <c r="H63" i="2" s="1"/>
  <c r="H68" i="56"/>
  <c r="H81" i="2"/>
  <c r="H87" i="57"/>
  <c r="H91" i="57"/>
  <c r="H89" i="57"/>
  <c r="H88" i="57"/>
  <c r="C106" i="2"/>
  <c r="E75" i="2"/>
  <c r="E77" i="2"/>
  <c r="E78" i="2"/>
  <c r="E80" i="2"/>
  <c r="E81" i="2"/>
  <c r="E79" i="2"/>
  <c r="E76" i="2"/>
  <c r="H54" i="2"/>
  <c r="H82" i="56"/>
  <c r="H80" i="2"/>
  <c r="H135" i="56"/>
  <c r="H54" i="57"/>
  <c r="H65" i="57"/>
  <c r="H69" i="57"/>
  <c r="H64" i="57"/>
  <c r="H68" i="57"/>
  <c r="H70" i="57"/>
  <c r="C94" i="57"/>
  <c r="H82" i="57"/>
  <c r="H163" i="57"/>
  <c r="H164" i="57"/>
  <c r="H161" i="57"/>
  <c r="H159" i="57"/>
  <c r="H160" i="57"/>
  <c r="H158" i="57"/>
  <c r="H165" i="57"/>
  <c r="H103" i="2"/>
  <c r="H630" i="56"/>
  <c r="H628" i="56"/>
  <c r="H631" i="56"/>
  <c r="H632" i="56"/>
  <c r="H629" i="56"/>
  <c r="H711" i="56"/>
  <c r="H707" i="56"/>
  <c r="H709" i="56"/>
  <c r="H710" i="56"/>
  <c r="H712" i="56"/>
  <c r="H403" i="56"/>
  <c r="H402" i="56"/>
  <c r="H399" i="56"/>
  <c r="H398" i="56"/>
  <c r="H400" i="56"/>
  <c r="C313" i="56"/>
  <c r="H252" i="56"/>
  <c r="H250" i="56"/>
  <c r="H247" i="56"/>
  <c r="C283" i="56"/>
  <c r="H129" i="57"/>
  <c r="H128" i="57"/>
  <c r="H126" i="57"/>
  <c r="H127" i="57"/>
  <c r="H122" i="57"/>
  <c r="H124" i="57"/>
  <c r="H123" i="57"/>
  <c r="H551" i="56"/>
  <c r="H547" i="56"/>
  <c r="H552" i="56"/>
  <c r="H549" i="56"/>
  <c r="H459" i="56"/>
  <c r="H461" i="56"/>
  <c r="H458" i="56"/>
  <c r="H463" i="56"/>
  <c r="H462" i="56"/>
  <c r="C422" i="56"/>
  <c r="H413" i="56"/>
  <c r="H409" i="56"/>
  <c r="H411" i="56"/>
  <c r="H226" i="56"/>
  <c r="H231" i="56"/>
  <c r="H227" i="56"/>
  <c r="H106" i="57"/>
  <c r="H623" i="2"/>
  <c r="H311" i="2"/>
  <c r="H316" i="2" s="1"/>
  <c r="H313" i="2"/>
  <c r="H315" i="2"/>
  <c r="H421" i="2"/>
  <c r="H652" i="2"/>
  <c r="E663" i="2"/>
  <c r="E662" i="2"/>
  <c r="E665" i="2"/>
  <c r="E661" i="2"/>
  <c r="E660" i="2"/>
  <c r="BS14" i="1"/>
  <c r="H273" i="56"/>
  <c r="H632" i="2"/>
  <c r="H691" i="2"/>
  <c r="H690" i="2"/>
  <c r="H694" i="2"/>
  <c r="H695" i="2"/>
  <c r="H692" i="2"/>
  <c r="BO20" i="1"/>
  <c r="BO28" i="1" s="1"/>
  <c r="C46" i="2"/>
  <c r="C44" i="2"/>
  <c r="C43" i="2"/>
  <c r="C41" i="2"/>
  <c r="C40" i="2"/>
  <c r="C39" i="2"/>
  <c r="C45" i="2"/>
  <c r="C42" i="2"/>
  <c r="BS9" i="1"/>
  <c r="H44" i="56"/>
  <c r="H46" i="56"/>
  <c r="H43" i="56"/>
  <c r="H41" i="56"/>
  <c r="H39" i="56"/>
  <c r="H45" i="56"/>
  <c r="H40" i="56"/>
  <c r="H6" i="56"/>
  <c r="H9" i="56"/>
  <c r="H5" i="56"/>
  <c r="H10" i="56"/>
  <c r="H110" i="57"/>
  <c r="H114" i="57"/>
  <c r="H117" i="57"/>
  <c r="G118" i="2"/>
  <c r="H111" i="2" s="1"/>
  <c r="H115" i="57"/>
  <c r="H111" i="57"/>
  <c r="H66" i="2"/>
  <c r="H231" i="2"/>
  <c r="BO19" i="1"/>
  <c r="E45" i="2"/>
  <c r="E43" i="2"/>
  <c r="E46" i="2"/>
  <c r="E44" i="2"/>
  <c r="E39" i="2"/>
  <c r="E40" i="2"/>
  <c r="E41" i="2"/>
  <c r="E42" i="2"/>
  <c r="H4" i="56"/>
  <c r="H30" i="57"/>
  <c r="H34" i="57"/>
  <c r="H29" i="57"/>
  <c r="H32" i="57"/>
  <c r="H33" i="57"/>
  <c r="H76" i="2"/>
  <c r="C106" i="56"/>
  <c r="C66" i="2"/>
  <c r="C65" i="2"/>
  <c r="C63" i="2"/>
  <c r="C70" i="2"/>
  <c r="C68" i="2"/>
  <c r="C64" i="2"/>
  <c r="C67" i="2"/>
  <c r="C69" i="2"/>
  <c r="G94" i="2"/>
  <c r="H90" i="56"/>
  <c r="H93" i="56"/>
  <c r="H87" i="56"/>
  <c r="H92" i="56"/>
  <c r="H137" i="56"/>
  <c r="H141" i="56"/>
  <c r="H138" i="56"/>
  <c r="H142" i="56"/>
  <c r="H52" i="57"/>
  <c r="H56" i="57"/>
  <c r="H55" i="57"/>
  <c r="H51" i="57"/>
  <c r="H58" i="57"/>
  <c r="H140" i="56"/>
  <c r="H279" i="56"/>
  <c r="H282" i="56"/>
  <c r="H147" i="2"/>
  <c r="H286" i="2"/>
  <c r="H685" i="2"/>
  <c r="H681" i="2"/>
  <c r="H683" i="2"/>
  <c r="H684" i="2"/>
  <c r="E5" i="2"/>
  <c r="E10" i="2"/>
  <c r="E4" i="2"/>
  <c r="E8" i="2"/>
  <c r="E6" i="2"/>
  <c r="BS32" i="1"/>
  <c r="H102" i="2"/>
  <c r="H77" i="2"/>
  <c r="E117" i="2"/>
  <c r="E115" i="2"/>
  <c r="E113" i="2"/>
  <c r="E116" i="2"/>
  <c r="E112" i="2"/>
  <c r="E118" i="2"/>
  <c r="E114" i="2"/>
  <c r="E111" i="2"/>
  <c r="H148" i="57"/>
  <c r="H151" i="57"/>
  <c r="H147" i="57"/>
  <c r="H153" i="57"/>
  <c r="H149" i="57"/>
  <c r="H34" i="56"/>
  <c r="H29" i="56"/>
  <c r="H30" i="56"/>
  <c r="H32" i="56"/>
  <c r="H33" i="56"/>
  <c r="H55" i="2"/>
  <c r="H115" i="2"/>
  <c r="G22" i="2"/>
  <c r="BS15" i="1"/>
  <c r="H3" i="56"/>
  <c r="H113" i="57"/>
  <c r="C10" i="2"/>
  <c r="C6" i="2"/>
  <c r="C5" i="2"/>
  <c r="H33" i="2"/>
  <c r="H29" i="2"/>
  <c r="H32" i="2"/>
  <c r="H34" i="2"/>
  <c r="H30" i="2"/>
  <c r="H31" i="2"/>
  <c r="H79" i="2"/>
  <c r="H112" i="57"/>
  <c r="C126" i="2"/>
  <c r="C124" i="2"/>
  <c r="C128" i="2"/>
  <c r="C125" i="2"/>
  <c r="C123" i="2"/>
  <c r="C129" i="2"/>
  <c r="C130" i="2"/>
  <c r="C127" i="2"/>
  <c r="H149" i="56"/>
  <c r="H153" i="56"/>
  <c r="H148" i="56"/>
  <c r="H147" i="56"/>
  <c r="H154" i="56"/>
  <c r="H152" i="56"/>
  <c r="H150" i="56"/>
  <c r="H67" i="2"/>
  <c r="C94" i="56"/>
  <c r="H153" i="2"/>
  <c r="C211" i="57"/>
  <c r="H66" i="57"/>
  <c r="H99" i="56"/>
  <c r="H130" i="2"/>
  <c r="H128" i="2"/>
  <c r="H591" i="56"/>
  <c r="H589" i="56"/>
  <c r="H592" i="56"/>
  <c r="H590" i="56"/>
  <c r="H588" i="56"/>
  <c r="H321" i="56"/>
  <c r="H322" i="56"/>
  <c r="H318" i="56"/>
  <c r="H523" i="2"/>
  <c r="H525" i="2"/>
  <c r="H522" i="2"/>
  <c r="H521" i="2"/>
  <c r="H524" i="2"/>
  <c r="H322" i="2"/>
  <c r="H324" i="2"/>
  <c r="H321" i="2"/>
  <c r="H325" i="2"/>
  <c r="H150" i="2"/>
  <c r="H248" i="56"/>
  <c r="H125" i="57"/>
  <c r="H125" i="2"/>
  <c r="H541" i="56"/>
  <c r="H460" i="56"/>
  <c r="H412" i="56"/>
  <c r="H278" i="56"/>
  <c r="H228" i="56"/>
  <c r="H190" i="57"/>
  <c r="H630" i="2"/>
  <c r="H425" i="2"/>
  <c r="H423" i="2"/>
  <c r="G665" i="2"/>
  <c r="H664" i="2" s="1"/>
  <c r="H292" i="2"/>
  <c r="H295" i="2"/>
  <c r="H293" i="2"/>
  <c r="H294" i="2"/>
  <c r="H693" i="2"/>
  <c r="H230" i="56"/>
  <c r="H323" i="56" l="1"/>
  <c r="H292" i="56"/>
  <c r="H288" i="56"/>
  <c r="H290" i="56"/>
  <c r="H289" i="56"/>
  <c r="H291" i="56"/>
  <c r="H117" i="2"/>
  <c r="H113" i="2"/>
  <c r="H313" i="56"/>
  <c r="H326" i="2"/>
  <c r="H94" i="57"/>
  <c r="C94" i="2"/>
  <c r="H219" i="56"/>
  <c r="H218" i="56"/>
  <c r="H221" i="56"/>
  <c r="H217" i="56"/>
  <c r="H220" i="56"/>
  <c r="H296" i="2"/>
  <c r="H82" i="2"/>
  <c r="E94" i="2"/>
  <c r="H92" i="2"/>
  <c r="H93" i="2"/>
  <c r="H87" i="2"/>
  <c r="H89" i="2"/>
  <c r="BO18" i="1"/>
  <c r="BO27" i="1" s="1"/>
  <c r="BO31" i="1"/>
  <c r="BS31" i="1" s="1"/>
  <c r="BS19" i="1"/>
  <c r="H661" i="2"/>
  <c r="H665" i="2"/>
  <c r="H660" i="2"/>
  <c r="H662" i="2"/>
  <c r="H663" i="2"/>
  <c r="H94" i="56"/>
  <c r="H118" i="2"/>
  <c r="H116" i="2"/>
  <c r="H114" i="2"/>
  <c r="H112" i="2"/>
  <c r="H70" i="56"/>
  <c r="H5" i="2"/>
  <c r="H10" i="2"/>
  <c r="H4" i="2"/>
  <c r="H6" i="2"/>
  <c r="H88" i="2"/>
  <c r="H91" i="2"/>
  <c r="H22" i="2"/>
  <c r="H17" i="2"/>
  <c r="H16" i="2"/>
  <c r="H18" i="2"/>
  <c r="H21" i="2"/>
  <c r="H19" i="2"/>
  <c r="H20" i="2"/>
  <c r="H90" i="2"/>
  <c r="H9" i="2"/>
  <c r="H283" i="56"/>
  <c r="H106" i="56"/>
  <c r="H15" i="2"/>
  <c r="H8" i="2"/>
  <c r="E82" i="2"/>
  <c r="H70" i="2"/>
  <c r="H64" i="2"/>
  <c r="H68" i="2"/>
  <c r="H65" i="2"/>
  <c r="H69" i="2"/>
  <c r="BN28" i="1"/>
  <c r="BS28" i="1" s="1"/>
  <c r="BS20" i="1"/>
  <c r="BN18" i="1"/>
  <c r="H7" i="2"/>
  <c r="H100" i="2"/>
  <c r="H104" i="2"/>
  <c r="H101" i="2"/>
  <c r="H105" i="2"/>
  <c r="H293" i="56" l="1"/>
  <c r="H106" i="2"/>
  <c r="H94" i="2"/>
  <c r="BN27" i="1"/>
  <c r="BS27" i="1" s="1"/>
  <c r="BS18" i="1"/>
</calcChain>
</file>

<file path=xl/sharedStrings.xml><?xml version="1.0" encoding="utf-8"?>
<sst xmlns="http://schemas.openxmlformats.org/spreadsheetml/2006/main" count="5704" uniqueCount="337">
  <si>
    <t>Key Performance Indicators</t>
  </si>
  <si>
    <t>Charges Ins</t>
  </si>
  <si>
    <t>Charges Self Pay</t>
  </si>
  <si>
    <t>Payments Ins</t>
  </si>
  <si>
    <t>Payments Patients</t>
  </si>
  <si>
    <t>Refunds</t>
  </si>
  <si>
    <t>Net Payment</t>
  </si>
  <si>
    <t>Adjustments Contractual</t>
  </si>
  <si>
    <t>Adjustments Other</t>
  </si>
  <si>
    <t># of visits</t>
  </si>
  <si>
    <t>Average Payment per Visit</t>
  </si>
  <si>
    <t>Gross Collections</t>
  </si>
  <si>
    <t>Net Collections</t>
  </si>
  <si>
    <t>AR $ total</t>
  </si>
  <si>
    <t>Patient AR $ total</t>
  </si>
  <si>
    <t>Insurance AR $ total</t>
  </si>
  <si>
    <t>A/R % &gt; 90 days</t>
  </si>
  <si>
    <t>DAR</t>
  </si>
  <si>
    <t>Insurance-only DAR</t>
  </si>
  <si>
    <t>AR Buckets</t>
  </si>
  <si>
    <t>Insurance</t>
  </si>
  <si>
    <t>%</t>
  </si>
  <si>
    <t>Patient</t>
  </si>
  <si>
    <t>Credit Balance</t>
  </si>
  <si>
    <t>Total</t>
  </si>
  <si>
    <t>Current 0-30</t>
  </si>
  <si>
    <t>31-60</t>
  </si>
  <si>
    <t>61-90</t>
  </si>
  <si>
    <t>91-120</t>
  </si>
  <si>
    <t>121+</t>
  </si>
  <si>
    <t>February 13 (as of March 5)</t>
  </si>
  <si>
    <t>January 13 (as of Feb 5)</t>
  </si>
  <si>
    <t>December 12 (as of Jan 3)</t>
  </si>
  <si>
    <t>November 12 (as of Dec 5)</t>
  </si>
  <si>
    <t>October 12 (as of Nov 5)</t>
  </si>
  <si>
    <t>September 12 (as of Oct 8)</t>
  </si>
  <si>
    <t>August 12 (as of Sept 6)</t>
  </si>
  <si>
    <t>July 12 (as of Aug 6)</t>
  </si>
  <si>
    <t>June 12 (as of July 5)</t>
  </si>
  <si>
    <t>May 12 (as of June 5)</t>
  </si>
  <si>
    <t>April 12 (as of May 5)</t>
  </si>
  <si>
    <t>March 12 (as of April 4)</t>
  </si>
  <si>
    <t>Feb 12 (as of March 3)</t>
  </si>
  <si>
    <t>Jan 12 (as of Feb 3)</t>
  </si>
  <si>
    <t>Dec 11 (as of Jan 16)</t>
  </si>
  <si>
    <t>Nov 11 (as of Dec 15)</t>
  </si>
  <si>
    <t>Oct 11 (as of Nov 4)</t>
  </si>
  <si>
    <t>Sept 11 (as of Oct 4)</t>
  </si>
  <si>
    <t>Aug 11 (as of Sept 6)</t>
  </si>
  <si>
    <t>April 13 (as of May 5)</t>
  </si>
  <si>
    <t>March 13 (as of April 5)</t>
  </si>
  <si>
    <t>May 13 (as of June 4)</t>
  </si>
  <si>
    <t>June 13 (as of July 8)</t>
  </si>
  <si>
    <t>July 13 (as of Aug 5)</t>
  </si>
  <si>
    <t>Aug 13 (as of Sep 5)</t>
  </si>
  <si>
    <t>Sep 13 (as of Oct 9)</t>
  </si>
  <si>
    <t>OCT 13 (as of Nov6)</t>
  </si>
  <si>
    <t>Nov 13 (as of Dec9)</t>
  </si>
  <si>
    <t>Dec 13 (as of Jan 6)</t>
  </si>
  <si>
    <t>JAN14 (as of FEB 5)</t>
  </si>
  <si>
    <t>FEB14 (as of MAR 6)</t>
  </si>
  <si>
    <t>MAR14 (as of APR 7)</t>
  </si>
  <si>
    <t>APR14 (as of May 5)</t>
  </si>
  <si>
    <t>MAY14 (as of May 5)</t>
  </si>
  <si>
    <t>A/R $ &gt; 90 Days</t>
  </si>
  <si>
    <t>JUN14 (as of JUN 26)</t>
  </si>
  <si>
    <t>JUL14 (as of JUL 26)</t>
  </si>
  <si>
    <t>AUG14 (as of AUG 26)</t>
  </si>
  <si>
    <t>SEP14 (as of SEP 29)</t>
  </si>
  <si>
    <t>OCT14 (as of OCT 29)</t>
  </si>
  <si>
    <t>NOV14 (as of DEC 1st)</t>
  </si>
  <si>
    <t>DEC14 (as of DEC 30th)</t>
  </si>
  <si>
    <t>JAN15 (as of JAN 29th)</t>
  </si>
  <si>
    <t>NOV'14 
• MCR denied ~485 (total of ~$110k) claims requesting NPI and PTAN combination for a set of providers (Abbasi, Heath, Mai, Francis &amp; Lena). Issue has been escalated to the client.  Client is still working on this. As per the recent update, these claims have been sent to get paid by Medicare.  Medicare started paying on these claims, So far received $8 - 10k payment.  As per the recently update by client SIHI needs to f/up on these and update client. 
• State office of Risk Management denied 70 claims worth of $25k for incorrect billing address. Issue escalated to client to get it fixed. Faxed the required information and it is still in the process of getting updated. Mailed the claims with all the required information, these claims are slowly getting processed.  So far received payment on 7 claims, 27-30 are denied for POTF issue, appealed these with necessary information, waiting to hear back on these and the rest.  Adjuster still reviewing these claims advised to allow 30 days.  
• Liberty and Texas Mutual denied 40 claims worth of ~30K for credentialing issue. Client is working on credentialing, however Liberty Mutual rejected the enrollment application stating do not want MedSpring to be enrolled due to having more Medicaid facilities in the same area; these claims appealed as per client instruction, as this should not be the reason to reject the application and deny claims.  Appeal process completed and started receiving response, few paid (~8 – 10 claims) and most denied for different reasons, working on them currently.  The appealed claims were denied for the same reason, as per client advise 2nd level appeal has been done. 
• Cigna  ~$48k  -  1. Claims processed for incorrect case rate are sent for review as special project. ETA is 60 days, expecting ~20K payment.  Cigna ran report on 10/17/14, requested to allow 2 weeks for status.  Cigna is still working on these as they are reviewing 2000+ claims.  Still no update on this as Cigna is working.  2.  Il State Cigna claims are processed but fund / payment will be released after 52 weeks.
• On the &gt; 90 Days ~$35K payment is impacted due to escreen and Employer claims on which we do not have control.
• Ins AR has been increased compared to last month is due to delay in WC claims payment. 
• Patient AR growth is causing the increase in AR &gt;90.
• Other adjustment is $28k is due to CPT 99000, J3490 and 99173 inclusive adjustments.</t>
  </si>
  <si>
    <r>
      <t xml:space="preserve">OCT'14 
</t>
    </r>
    <r>
      <rPr>
        <sz val="10"/>
        <rFont val="Calibri"/>
        <family val="2"/>
      </rPr>
      <t>• MCR denied ~450 (total of ~$90k) claims requesting NPI and PTAN combination for a set of providers (Abbasi, Heath, Mai, Francis &amp; Lena). Issue has been escalated to the client.  Client is still working on this. As per the recent update, these claims have been sent to get paid by Medicare.  Medicare started paying on these claims, So far received $8 - 10k payment. 
• State office of Risk Management denied 70 claims worth of $25k for incorrect billing address. Issue escalated to client to get it fixed. Faxed the required information and it is still in the process of getting updated. Mailed the claims with all the required information, these claims are slowly getting processed.  So far received payment on 7 claims, 27-30 are denied for POTF issue, appealed these with necessary information, waiting to hear back on these and the rest. 
• Liberty Mutual denied 40 claims worth of ~20K for credentialing issue. Client is working on credentialing, however Liberty Mutual rejected the enrollment application stating do not want MedSpring to be enrolled due to having more Medicaid facilities in the same area; these claims appealed as per client instruction, as this should not be the reason to reject the application and deny claims.  Appeal process completed and started receiving response, few paid (~8 – 10 claims) and most denied for different reasons, working on them currently. 
• UD Dept of Labor issue resolved - pending response on the 2 claims from client. 
• ~360 Aetna HOU claims are sent to Aetna for review, we paid ~18K payment additionally, which were originally underpaid.  These also got posted in system. 
• Cigna claims processed for incorrect case rate are sent for review as special project. ETA is 60 days, expecting ~20K payment.  Cigna ran report on 10/17/14, requested to allow 2 weeks for status. 
• Patient AR growth is causing the increase in AR &gt;90.
• Other adjustment is $38k is due to CPT 99000, J3490 and 99173 inclusive adjustments.</t>
    </r>
  </si>
  <si>
    <t>SEP'14 
• Visit count is increased compared to last month is due to sports physical and flu visit.
• MCR denied ~450  (total of ~$100k) claims requesting NPI and PTAN combination for a set of providers (Abbasi, Heath, Mai, Francis &amp; Lena). Issue has been escalated to the client .  Client is still working on this. As per the recent update, these claims have been sent to get paid by Medicare.  Medicare started paying on these claims, So far received $4k payment. 
• State office of Risk Management denied 77 claims worth of $30k for incorrect billing address. Issue escalated to client to get it fixed. Faxed the required information and it is still in the process of getting updated. Mailed the claims with all the required information, these claims are slowly getting processed. Mailed claims are still denied for other reason. We are working on this also notified the client on this. 
• Liberty Mutual denied 40 claims worth of ~20K  for credentialing issue. Client is working on credentialing; we are in the process of appealed, and in process of f/up. 
• UD Dept of Labor issue resolved to 90% and payment received and posted. We are working on rest 10%.
• Patient AR growth is causing the increase in AR &gt;90.
• Other adjustment is $47k is due to CPT 99000, J3490 and 99173 inclusive adjustments.
• Refunds are down because of a problem on the client’s side with the vender they use for check writing. This has been taken care of and refunds are being processed again.
• ~360 Aetna HOU claims are sent to Aetna for review, we will hear from Aetna on this in next 15 days. Expecting ~15K payment.  In the past we had received ~131K payment after Aetna reprocessing the claim.
• Cigna claims processed for incorrect case rate are sent for review as special project. ETA is 60 days.  Expecting ~20K payment.</t>
  </si>
  <si>
    <t xml:space="preserve">AUG'14 
• Payment is low compared to last month, however we have ~40k payment issued on check and we are waiting for deposit confirmation to post this. 
• Visit count is increased compared to last month is due to sports physical visit.
• As per the new protocol, the billing month is run from the 26th of June14 to the 25th Jul14. 
• Insurance AR &gt; 90 Days increased - Due to OCC Employer payment delay (~$80k).
• MCR denied ~450  (total of ~$100k) claims requesting NPI and PTAN combination for a set of providers (Abbasi, Heath, Mai, Francis &amp; Lena). Issue has been escalated to the client .  Client is still working on this. As per the recent update, these claims have been sent to get paid by Medicare. Still waiting for payment.
• State office of Risk Management denied 77 claims worth of $30k for incorrect billing address. Issue escalated to client to get it fixed. Faxed the required information and it is still in the process of getting updated. Mailed the claims with all the required information, these claims are slowly getting processed
• Liberty Mutual denied 40 claims worth of ~16K  for credentialing issue. Client is working on credentialing; we are in the process of appealing it as instructed by client.
• UD Dept of Labor denied ~23 claim worth of $9.5 K claims for provider credentialing issue.  Client working on this
• Ins AR &gt;90 days decreased by 3% compared to last month
• AR &gt; 90 days decreased by 1% compared to last month
• Along with above insurance AR reasons, we have patient AR that is also growing which caused the increase in AR &gt;90.
• Patient AR increased due to Collection and Bad Debt adjustment writes ons.
• Other adjustment is $40k is due to CPT 99000, J3490 and 99173 inclusive adjustments.
• Refunds are down because of a problem on the client’s side with the vender they use for check writing. This has been taken care of and refunds are being processed again.
</t>
  </si>
  <si>
    <r>
      <t xml:space="preserve">JUL'14 
</t>
    </r>
    <r>
      <rPr>
        <sz val="10"/>
        <rFont val="Calibri"/>
        <family val="2"/>
      </rPr>
      <t>• As per the new protocol, the billing month is run from the 26th of June14 to the 25th Jul14. 
• Insurance AR &gt; 90 Days increased - Due to OCC Employer payment delay (~$100k).
• MCR denied ~450  (total of ~$100k) claims requesting NPI and PTAN combination for a set of providers (Abbasi, Heath, Mai, Francis &amp; Lena). Issue has been escalated to the client .  Client is still working on this. As per the recent update, these claims have been sent to get paid by Medicare. Still waiting for payment.
• 51 Tricare Claims ($12K) are denied for PTF as these were held due to credentialing issue, client is working on this with Tricare, waiting for further update. 
• Seton Denied ~50 claims worth of $22k for incorrect billing address. Issue escalated to client to get it fixed, and is still in process. Recently we provided paper claims for all affected claims to Seton to reprocess. Client working with Seton
• State office of Risk Management denied 77 claims worth of $30k for incorrect billing address. Issue escalated to client to get it fixed. Faxed the required information and it is still in the process of getting updated. Mailed the claims with all the required information, these claims are slowly getting processed
• UD Dept of Labor denied ~15 claim worth of $9 K claims for provider credentialing issue. 
• AR &gt;90 days has also increased. - Along with above insurance AR reasons, we have patient AR that is also growing which caused the increase in AR &gt;90.
• Patient AR increased due to Collection and Bad Debt adjustment writes ons.
• Other adjustment is $40k is due to CPT 99000, J3490 and 99173 inclusive adjustment.
• Refunds are down because of a problem on the client’s side with the vender they use for check writing. This has been taken care of and refunds are being processed again.</t>
    </r>
  </si>
  <si>
    <t>JUN'14 
• As per the new protocol, the billing month is run from the 26th of May14 to the 25th Jun14. The client is aware that this will cause payment to be lower this month.
• Insurance AR &gt; 90 Days increased - Due to OCC Employer payment delay (~$115k).
• MCR denied ~450  (total of ~$100k) claims requesting NPI and PTAN combination for a set of providers (Abbasi, Heath, Mai, Francis &amp; Lena). Issue has been escalated to the client .  Client still working on this. As per the recent update, these claims have been sent to get paid by Medicare. Still Waiting for payment.
• Seton Denied ~50 claims worth of $22k for incorrect billing address. Issue escalated to client to get it fixed, and is still in process. Recently we provided paper claims for all affected claims to Seton to reprocess. Client working with Seton
• State office of Risk Management denied 77 claims worth of $30k for incorrect billing address. Issue escalated to client to get it fixed. Faxed the required information and it is still in the process of getting updated. Mailed the claims with all the required information, waiting for processing. 
• UD Dpt of Labor denied ~15 claim worth of $9 K claims for provider credentialing issue. 
• AR &gt;90 days has also increased. - Along with above insurance AR reasons, we have patient AR that is also growing which caused the increase in AR &gt;90.
• Patient AR increased due to Collection and Bad Debt adjustment writes ons.
• Other adjustment is $42k is due to CPT 99000 and 99173 inclusive adjustment.</t>
  </si>
  <si>
    <t xml:space="preserve">MAY'14 
• The month was closed early leaving ~150 ERAs unposted. These will be reflected in next month’s totals. This was done so that the client could have the invoice by the 3rd of the month. This will be the new protocol going forward.  The billing month will run from the 25th to the 26th each month. The client is aware that this will cause payment to be lower this month.
• Insurance AR &gt; 90 Days increased - Due to OCC Employer payment delay (~$110k).
• MCR denied ~450  (total of ~$100k) claims requesting NPI and PTAN combination for a set of providers (Abbasi, Heath, Mai, Francis &amp; Lena). Issue has been escalated to the client .  Client still working on this. As per the recent update, these claims have been sent to get paid by Medicare.
• Seton Denied ~50 claims worth of $20k for incorrect billing address. Issue escalated to client to get it fixed, and is still in process. Recently we provided paper claims for all affected claims to Seton to reprocess.
• State office of Risk Management denied 77 claims worth of $30k for incorrect billing address. Issue escalated to client to get it fixed. Faxed the required information and it is still in the process of getting updated.
• AR &gt;90 days has also increased. - Along with above insurance AR reasons, we have patient AR that is also growing which caused the increase in AR &gt;90.
• Patient AR increased due to Collection and Bad Debt adjustment writes ons.
• Other adjustment is $35k is due to CPT 99000 and 99173 inclusive adjustment.
</t>
  </si>
  <si>
    <r>
      <rPr>
        <b/>
        <sz val="10"/>
        <color indexed="62"/>
        <rFont val="Calibri"/>
        <family val="2"/>
      </rPr>
      <t>APR'14</t>
    </r>
    <r>
      <rPr>
        <sz val="10"/>
        <color indexed="62"/>
        <rFont val="Calibri"/>
        <family val="2"/>
      </rPr>
      <t xml:space="preserve">
</t>
    </r>
    <r>
      <rPr>
        <sz val="10"/>
        <rFont val="Calibri"/>
        <family val="2"/>
      </rPr>
      <t xml:space="preserve">• Insurance AR &gt; 90 Days increased - Due to OCC Employer payment delay (~$90k).
• MCR denied ~300  (total of ~$70k) claims requesting NPI and PTAN combination for set of providers (Abbasi, Heath, Mai, Francis &amp; Lena), issue is escalated to client .  Client still working on this
• Seton Denied ~30 claims worth of $5k for incorrect billing address, issue escalated to client to get it fixed, Still in process
• State office of Risk Management  denied 77 claims worth of $30k for incorrect billing address, issue escalated to client to get it fixed. Faxed the required information ins and it is still in process of getting updated.
• AR &gt;90 days is also increased. - Along with above insurance AR reason, we have patient AR also growing which caused the increase in AR &gt;90
• Patient AR increased due to Collection and Bad Debt adjustment writes ons.
•  Other adjustment is $33k is due to CPT 99000 and 99173 inclusive adjustment. </t>
    </r>
  </si>
  <si>
    <r>
      <t>MAR'14
•</t>
    </r>
    <r>
      <rPr>
        <b/>
        <sz val="10"/>
        <rFont val="Calibri"/>
        <family val="2"/>
      </rPr>
      <t xml:space="preserve"> </t>
    </r>
    <r>
      <rPr>
        <sz val="10"/>
        <rFont val="Calibri"/>
        <family val="2"/>
      </rPr>
      <t>Increase in charges / visits ad payments when compared with previous month.
• Insurance AR &gt; 90 Days increased - Due to OCC Employer payment delay (~$80k).
• MCR denied ~300  (total of ~$70k) claims requesting NPI and PTAN combination for set of providers (Abbasi, Heath, Mai, Francis &amp; Lena), issue is escalated to client . 
• Seton Denied ~30 claims worth of $5k for incorrect billing address, issue escalated to client to get it fixed
• State office of Risk Management  denied 77 claims worth of $30k for incorrect billing address, issue escalated to client to get it fixed
• AR &gt;90 days is also increased. - Along with above insurance AR reason, we have patient AR also growing which caused the increase in AR &gt;90
• Patient AR increased due to Collection and Bad Debt adjustment writes ons.</t>
    </r>
  </si>
  <si>
    <r>
      <rPr>
        <b/>
        <sz val="10"/>
        <color indexed="62"/>
        <rFont val="Calibri"/>
        <family val="2"/>
      </rPr>
      <t>FEB'14</t>
    </r>
    <r>
      <rPr>
        <sz val="10"/>
        <color indexed="62"/>
        <rFont val="Calibri"/>
        <family val="2"/>
      </rPr>
      <t xml:space="preserve">
</t>
    </r>
    <r>
      <rPr>
        <sz val="10"/>
        <rFont val="Calibri"/>
        <family val="2"/>
      </rPr>
      <t>• Decrease in charges / visits when compared with previous months is because DEC13 and JAN14 had increased volume due to flu shot season.
• Insurance AR &gt; 90 Days increased - Due to OCC Employer payment delay (~$80k) . 
MCR denied ~300  (total of ~$70k) claims requesting NPI and PTAN combination for set of providers (Abbasi, Heath, Mai, Francis &amp; Lena), issue is escalated to client . 
• AR &gt;90 days is also increased. - Along with above insurance AR reason, we have patient AR also growing which caused the increase in AR &gt;90
• Patient AR increased due to Collection and Bad Debt adjustment write off.</t>
    </r>
  </si>
  <si>
    <r>
      <rPr>
        <b/>
        <sz val="10"/>
        <color indexed="62"/>
        <rFont val="Calibri"/>
        <family val="2"/>
      </rPr>
      <t>JAN'14</t>
    </r>
    <r>
      <rPr>
        <sz val="10"/>
        <color indexed="62"/>
        <rFont val="Calibri"/>
        <family val="2"/>
      </rPr>
      <t xml:space="preserve">
</t>
    </r>
    <r>
      <rPr>
        <sz val="10"/>
        <color indexed="8"/>
        <rFont val="Calibri"/>
        <family val="2"/>
      </rPr>
      <t>• Again very good increment in both charges and payments when compared with last month.
• Insurance AR &gt; 90 Days increased - Due to OCC Employer payment delay. MCR denied the claim requesting NPI and PTAN combination. Ins AR will get reduced in next 30 days as we fixing these issues
• AR &gt;90 days as well Decreased. - Along with above insurance AR reason, we have patient AR also growing which caused the increase in AR &gt;90
• Patient AR has increased huge, is due to Collection and Bad Debt adjustment write on.
• Increase in # of visits when compared last month as patient in put increased.</t>
    </r>
  </si>
  <si>
    <r>
      <rPr>
        <b/>
        <sz val="10"/>
        <rFont val="Calibri"/>
        <family val="2"/>
      </rPr>
      <t>Dec'13</t>
    </r>
    <r>
      <rPr>
        <sz val="10"/>
        <rFont val="Calibri"/>
        <family val="2"/>
      </rPr>
      <t xml:space="preserve">
• Very good increment in both charges and payments when compared with last month.
• Insurance AR &gt; 90 Days decreased.
• AR &gt;90 days as well Decreased.
• Patient AR has increased huge, is due to Collection and Bad Debt adjustment write on.
• Increase in # of visits when compared last month.</t>
    </r>
  </si>
  <si>
    <r>
      <t xml:space="preserve">Nov'13
</t>
    </r>
    <r>
      <rPr>
        <sz val="10"/>
        <rFont val="Calibri"/>
        <family val="2"/>
      </rPr>
      <t>Increase in charges and payments when compared to last month
2% increase in Ins AR 
Patient AR has increased huge, is due to Collection and Bad Debt adjustment write on
Increase in # of visits when compared last month.</t>
    </r>
  </si>
  <si>
    <r>
      <t xml:space="preserve">OCT'13
</t>
    </r>
    <r>
      <rPr>
        <sz val="10"/>
        <rFont val="Calibri"/>
        <family val="2"/>
      </rPr>
      <t>Increase in charges and payments when compared to last month
2% increase on both Ins AR and total AR
Increase in # of visits when compared last month.</t>
    </r>
  </si>
  <si>
    <r>
      <t>SEP'13</t>
    </r>
    <r>
      <rPr>
        <sz val="10"/>
        <rFont val="Calibri"/>
        <family val="2"/>
      </rPr>
      <t xml:space="preserve">
Increase in charges and payments when Compared to last month
AR &gt;90 - 8% Drop when compared to last month
Ins AR &gt;90 – 9% Drop when compared to last month
Decrease in # of visit when compared last month.</t>
    </r>
  </si>
  <si>
    <r>
      <t xml:space="preserve">AUG'13
</t>
    </r>
    <r>
      <rPr>
        <sz val="10"/>
        <rFont val="Calibri"/>
        <family val="2"/>
      </rPr>
      <t>1. Increase in both charges, decrease payments, when compared to last month
2. Decrease on both insurance  and PT AR &gt; 90 days
3. Increase in # of visit when compared last month.</t>
    </r>
  </si>
  <si>
    <r>
      <t xml:space="preserve">July'13
</t>
    </r>
    <r>
      <rPr>
        <sz val="10"/>
        <rFont val="Calibri"/>
        <family val="2"/>
      </rPr>
      <t xml:space="preserve">1. Increase in both charges and payments, when compared to last month
2. Decrease on both insurance  and PT AR </t>
    </r>
  </si>
  <si>
    <r>
      <t xml:space="preserve">JUN'13
</t>
    </r>
    <r>
      <rPr>
        <sz val="10"/>
        <rFont val="Calibri"/>
        <family val="2"/>
      </rPr>
      <t xml:space="preserve">1. Decrease in both charges and payments, when compared to last month
2. Increase on  both insurance and PT AR is due to reduce is $ value in 0-30, 61 -90 &amp; 91 - 120 buckets. This impacted on Total insurance and PT AR &gt; 90 days %   </t>
    </r>
  </si>
  <si>
    <r>
      <t xml:space="preserve">MAY'13
</t>
    </r>
    <r>
      <rPr>
        <sz val="10"/>
        <rFont val="Calibri"/>
        <family val="2"/>
      </rPr>
      <t>1. Increase in charges  and slight decrease in payments, when compared to last month
2. 1% Increase on  both insurance and PT AR</t>
    </r>
  </si>
  <si>
    <r>
      <t xml:space="preserve">APR'13
</t>
    </r>
    <r>
      <rPr>
        <sz val="10"/>
        <rFont val="Calibri"/>
        <family val="2"/>
      </rPr>
      <t>1. Decrease in charges, when compared to last month
2. 2% Decrease on insurance AR
3. 1% Increase on Total AR.</t>
    </r>
  </si>
  <si>
    <r>
      <t xml:space="preserve">MAR'13
</t>
    </r>
    <r>
      <rPr>
        <sz val="10"/>
        <rFont val="Calibri"/>
        <family val="2"/>
      </rPr>
      <t xml:space="preserve">1. Increase in both charges and payments, when compared to last month
2. Decrease on both insurance  and PT AR </t>
    </r>
  </si>
  <si>
    <r>
      <t xml:space="preserve">FEB'13
</t>
    </r>
    <r>
      <rPr>
        <sz val="10"/>
        <rFont val="Calibri"/>
        <family val="2"/>
      </rPr>
      <t xml:space="preserve">1. Decrease in both charges and payments, when compared to last month
2. Increase on both insurance  and PT AR </t>
    </r>
  </si>
  <si>
    <r>
      <t xml:space="preserve">Jan'13
</t>
    </r>
    <r>
      <rPr>
        <sz val="10"/>
        <rFont val="Calibri"/>
        <family val="2"/>
      </rPr>
      <t xml:space="preserve">1. Increase in both charges and payments, when compared to last month
2. I% increase on  insurance AR </t>
    </r>
  </si>
  <si>
    <r>
      <t xml:space="preserve">Dec'12
</t>
    </r>
    <r>
      <rPr>
        <sz val="10"/>
        <rFont val="Calibri"/>
        <family val="2"/>
      </rPr>
      <t xml:space="preserve">1. Increase in both charges and payments, when compared to last month
2. I% increase on  insurance AR </t>
    </r>
  </si>
  <si>
    <r>
      <t xml:space="preserve">Nov'12
</t>
    </r>
    <r>
      <rPr>
        <sz val="10"/>
        <rFont val="Calibri"/>
        <family val="2"/>
      </rPr>
      <t xml:space="preserve">1. Increase in the charges, when compared to last month
2. Slight decrease in payment
3. I% increase on both total AR and insurance AR </t>
    </r>
  </si>
  <si>
    <t>DEC'14 
• MCR denied ~485 (total of ~$128k) claims requesting NPI and PTAN combination for a set of providers (Abbasi, Heath, Mai, Francis &amp; Lena). Issue has been escalated to the client.  Client is still working on this. As per the recent update, these claims have been sent to get paid by Medicare.  Medicare started paying on these claims, So far received $8 - 10k payment.  As per the recently update by client SIHI needs to f/up on these and update client.  These claims are now denied for TFL, escalated to client. 
• State office of Risk Management denied 70 claims worth $26k for incorrect billing address. Issue escalated to client to get it fixed. Faxed the required information and it is still in the process of getting updated. Mailed the claims with all the required information, these claims are slowly getting processed.  So far received payment on 7 claims, 27-30 are denied for POTF issue, appealed these with necessary information, waiting to hear back on these and the rest.  Adjuster still reviewing these claims advised to allow 30 days.  Most of these denied for TFL same escalated .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appealed as per client instruction, as this should not be the reason to reject the application and deny claims.  Appeal process completed and started receiving response, few paid (~8 – 10 claims) and most denied for different reasons, working on them currently.  The appealed claims were denied for the same reason, as per client advise 2nd level appeal has been done.  2nd Level appeal denied on few claims same escalated. 
• Cigna  ~$62k  -  1. Claims processed for incorrect case rate are sent for review as special project. ETA is 60 days, expecting ~20K payment.  Cigna ran report on 10/17/14, requested to allow 2 weeks for status.  Cigna is still working on these as they are reviewing 2000+ claims.  Still no update on this as Cigna is working.  2.  Il State Cigna claims are processed but fund / payment will be released after 52 weeks.
• On the &gt; 90 Days ~$68K payment is impacted due to escreen and Employer claims on which we do not have control.
• Ins AR has been increased compared to last month is due to delay in WC claims payment. 
• Patient AR growth is causing the increase in AR &gt;90.
• Other adjustment is $23k is due to CPT 99000, J3490 and 99173 inclusive adjustments.</t>
  </si>
  <si>
    <t>Jan'15
• MCR denied ~485 (total of ~$128k) claims requesting NPI and PTAN combination for a set of providers (Abbasi, Heath, Mai, Francis &amp; Lena).  Client was working on these and accordingly to them we should have got paid, but got paid only $8 -10k, remaining were denied for TFL issue. Updated the client and they are working on it. 
• State office of Risk Management denied ~40 claims worth of $15k for multiple reasons like, corrected claims are processed as new claim and denied as past TFL, Injury not work related, working on this to escalate it to client.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were appealed as per client instruction, Appeal process completed and started receiving response, few paid (~8 – 10 claims).  Few appealed claims were denied for the same reason, as per client advise 2nd level appeal has been done.  2nd Level appeal denied on few claims same escalated, Mindy is working on it. 
• Cigna  ~$62k  -  1. Claims processed for incorrect case rate are sent for review as special project. ETA is 60 days, expecting ~20K payment.  Cigna ran report on 10/17/14, requested to allow 2 weeks for status.  Cigna is still working on these as they are reviewing 2000+ claims.  Slowly started getting paid payment will be released after 52 weeks.
• On &gt;90 days WC denial claims for EMPL termination, 1st injury not report are being worked by Mindy.
• On the &gt; 90 Days ~$70K payment is impacted due to escreen and Employer claims on which we do not have control.
• Ins AR has been increased compared to last month is due to delay in WC claims payment and denials on which we do not have control which is with client now and waiting for resolutions on these. 
• Patient AR growth is causing the increase in AR &gt;90.
• Other adjustment is $34k is due to CPT 99000, J3490 and 99173 inclusive adjustments.</t>
  </si>
  <si>
    <t>FEB15 (as of  FEB27th)</t>
  </si>
  <si>
    <t>MAR15 (as of  MAR27th)</t>
  </si>
  <si>
    <t xml:space="preserve">FEb'15
• MCR denied ~485 (total of ~$128k) claims requesting NPI and PTAN combination for a set of providers (Abbasi, Heath, Mai, Francis &amp; Lena).  Client was working on these and accordingly to them we should have got paid, but got paid only $8 -10k, remaining were denied for TFL issue. Updated the client and they are working on it. 
• State office of Risk Management denied ~40 claims worth of $15k for multiple reasons like, corrected claims are processed as new claim and denied as past TFL, Injury not work related, working on this to escalate it to client.  Still waiting for resolutions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were appealed as per client instruction, Appeal process completed and started receiving response, few paid (~8 – 10 claims).  Few appealed claims were denied for the same reason, as per client advise 2nd level appeal has been done.  2nd Level appeal denied on few claims same escalated, Mindy is working on it.  No update yet as Mindy still working
• Cigna  ~$54k  -  1. Claims processed for incorrect case rate are sent for review as special project. ETA is 60 days, expecting ~20K payment.  Cigna ran report on 10/17/14, requested to allow 2 weeks for status.  Cigna is still working on these as they are reviewing 2000+ claims.  Slowly started getting paid payment will be released after 52 weeks. compared to last month it is reduced by $8k
• On &gt;90 days WC denial claims for EMPL termination, 1st injury not report are being worked by Mindy.
• On the &gt; 90 Days ~$85K payment is impacted due to escreen and Employer claims on which we do not have control.
• Ins AR has been increased compared to last month is due to delay in WC claims payment and denials on which we do not have control which is with client now and waiting for resolutions on these. 
• Patient AR growth is causing the increase in AR &gt;90.
• Other adjustment is $64k is due to CPT 99000, J3490 and 99173 inclusive adjustments and also other adjustment done by client due to credentialing issue. </t>
  </si>
  <si>
    <t>Mar'15
• MCR denied ~485 (total of ~$128k) claims requesting NPI and PTAN combination for a set of providers (Abbasi, Heath, Mai, Francis &amp; Lena).  Client was working on these and accordingly to them we should have got paid, but got paid only $8 -10k, remaining were denied for TFL issue. Received update recently to WO some of these balance.
• State office of Risk Management denied ~40 claims worth of $15k for multiple reasons like, corrected claims are processed as new claim and denied as past TFL, Injury not work related, working on this to escalate it to client.  Still waiting for resolutions.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were appealed as per client instruction, Appeal process completed and started receiving response, few paid (~8 – 10 claims).  Few appealed claims were denied for the same reason, as per client advise 2nd level appeal has been done.  2nd Level appeal denied on few claims same escalated, Mindy is working on it.  No update yet as Mindy still working
• Cigna  ~$42k  -  1. Claims processed for incorrect case rate are sent for review as special project. ETA is 60 days, expecting ~20K payment.  Cigna ran report on 10/17/14, requested to allow 2 weeks for status.  Cigna is still working on these as they are reviewing 2000+ claims.  Slowly started getting paid payment will be released after 52 weeks. compared to last month it is reduced by $12k
• On &gt;90 days WC denial claims for EMPL termination, 1st injury not report are being worked by Mindy. No update yet on these. 
• On the &gt; 90 Days ~$72K payment is impacted due to escreen and Employer claims on which we do not have control.
• Ins AR has been decreased compared to last month is due to we collected some payments from WC on old claims and also from commercial payers. And some claims were WO by client for WC and Credential issue
• Patient AR growth is causing the increase in AR &gt;90.
• Other adjustment is $27k is due to CPT 99000, J3490 and 99173 inclusive adjustments.</t>
  </si>
  <si>
    <t>APR15 (as of APR29th)</t>
  </si>
  <si>
    <t>Apr'15
• MCR denied ~485 (total of ~$128k) claims requesting NPI and PTAN combination for a set of providers (Abbasi, Heath, Mai, Francis &amp; Lena).  Client was working on these and accordingly to them we should have got paid, but got paid only $8 -10k, remaining were denied for TFL issue. Received update recently to WO some of these balance. 
• State office of Risk Management denied ~40 claims worth of $15k for multiple reasons like, corrected claims are processed as new claim and denied as past TFL, Injury not work related, working on this to escalate it to client.  Still waiting for resolutions.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were appealed as per client instruction, Appeal process completed and started receiving response, few paid (~8 – 10 claims).  Few appealed claims were denied for the same reason, as per client advise 2nd level appeal has been done.  2nd Level appeal denied on few claims same escalated, Mindy is working on it.  No update yet as Mindy still working
• Cigna  ~$42k  -  1. Claims processed for incorrect case rate are sent for review as special project. ETA is 60 days, expecting ~20K payment.  Cigna ran report on 10/17/14, requested to allow 2 weeks for status.  Cigna is still working on these as they are reviewing 2000+ claims.  Slowly started getting paid payment will be released after 52 weeks. compared to last month it is reduced by $12k
• On &gt;90 days WC denial claims for EMPL termination, 1st injury not report are being worked by Mindy. No update yet on these. 
• On the &gt; 90 Days ~$70K payment is impacted due to escreen and Employer claims on which we do not have control.
And $70k worth of claims are in pending credential under client review, which we do not have control.
• On AR we have received an approval to WO some of the 15 months old claims from client, we are working on it. 
• Patient AR growth is causing the increase in AR &gt;90.
• Other adjustment is $112k is due to CPT 99000, J3490 and 99173 inclusive adjustments and also the PTAN project adjust off per client approval.
• Refunds have increase because Anna has finished year end reports and now is concentrating on getting refunds out.</t>
  </si>
  <si>
    <t>MAY15 (as of MAY29th)</t>
  </si>
  <si>
    <t>May'15
• MCR denied ~485 (total of ~$128k) claims requesting NPI and PTAN combination for a set of providers (Abbasi, Heath, Mai, Francis &amp; Lena).  Client was working on these and accordingly to them we should have got paid, but got paid only $8 -10k, remaining were denied for TFL issue. Received update recently to WO some of these balance.  
• State office of Risk Management denied ~40 claims worth of $15k for multiple reasons like, corrected claims are processed as new claim and denied as past TFL, Injury not work related, working on this to escalate it to client.  Still waiting for resolutions.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were appealed as per client instruction, Appeal process completed and started receiving response, few paid (~8 – 10 claims).  Few appealed claims were denied for the same reason, as per client advise 2nd level appeal has been done.  2nd Level appeal denied on few claims same escalated, Mindy is working on it.  No update yet as Mindy still working
• Client is working on old AR to provide an approval to WO the balance that uncollectable at this point. 
• On &gt;90 days WC denial claims for EMPL termination, 1st injury not report are being worked by Mindy. No update yet on these. 
• On the &gt; 90 Days ~$65K payment is impacted due to escreen and Employer claims on which we do not have control.
And $63k worth of claims are in pending credential under client review, which we do not have control.
• Patient AR growth is causing the increase in AR &gt;90.
• Other adjustment is $106k is due to CPT 99000, J3490 and 99173 inclusive adjustments and also the PTAN project and AR project adjust off per client approval.
• Refunds have increase because Anna has finished year end reports and now is concentrating on getting refunds out.</t>
  </si>
  <si>
    <t>JUN15 (as of JUN29th)</t>
  </si>
  <si>
    <t xml:space="preserve">Jun'15
• MCR denied ~485 (total of ~$128k) claims requesting NPI and PTAN combination for a set of providers (Abbasi, Heath, Mai, Francis &amp; Lena).  Client was working on these and accordingly to them we should have got paid, but got paid only $8 -10k, remaining were denied for TFL issue. Received update recently to WO some of these balance.  
• State office of Risk Management denied ~40 claims worth of $15k for multiple reasons like, corrected claims are processed as new claim and denied as past TFL, Injury not work related, working on this to escalate it to client.  Still waiting for resolutions.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were appealed as per client instruction, Appeal process completed and started receiving response, few paid (~8 – 10 claims).  Few appealed claims were denied for the same reason, as per client advise 2nd level appeal has been done.  2nd Level appeal denied on few claims same escalated, Mindy is working on it.  No update yet as Mindy still working
• Client is working on old AR to provide an approval to WO the balance that uncollectable at this point. 
• On &gt;90 days WC denial claims for EMPL termination, 1st injury not report are being worked by Mindy. No update yet on these. 
• On the &gt; 90 Days ~$70K payment is impacted due to escreen and Employer claims on which we do not have control.
And $68k worth of claims are in pending credential under client review, which we do not have control.
• Patient AR growth is causing the increase in AR &gt;90.
• Refunds have decreased because Anna moved to Fresenius,  Mindy and her team has taken over. Due to transition of the process refunds are reduced. </t>
  </si>
  <si>
    <t>JUL15 (as of JUL29th)</t>
  </si>
  <si>
    <t>Jul'15
• MCR denied ~485 (total of ~$128k) claims requesting NPI and PTAN combination for a set of providers (Abbasi, Heath, Mai, Francis &amp; Lena).  Client was working on these and accordingly to them we should have got paid, but got paid only $8 -10k, remaining were denied for TFL issue. Received update recently to WO some of these balance.  
• State office of Risk Management denied ~40 claims worth of $15k for multiple reasons like, corrected claims are processed as new claim and denied as past TFL, Injury not work related, working on this to escalate it to client.  Still waiting for resolutions.
• Liberty and Texas Mutual denied 40 claims worth of ~30K for credentialing issue. Client is working on credentialing, however Liberty Mutual rejected the enrollment application stating they do not want MedSpring to be enrolled due to having more Medicaid facilities in the same area; these claims were appealed as per client instruction, Appeal process completed and started receiving response, few paid (~8 – 10 claims).  Few appealed claims were denied for the same reason, as per client advise 2nd level appeal has been done.  2nd Level appeal denied on few claims same escalated, Mindy is working on it.  No update yet as Mindy still working
• Client is working on old AR to provide an approval to WO the balance that uncollectable at this point. 
• On &gt;90 days WC denial claims for EMPL termination, 1st injury not report are being worked by Mindy. No update yet on these. 
• On the &gt; 90 Days ~$73K payment is impacted due to escreen and Employer claims on which we do not have control.
And $68k worth of claims are in pending credential under client review, which we do not have control.
• Patient AR growth is causing the increase in AR &gt;90.
• Refunds  process getting to normal.</t>
  </si>
  <si>
    <t>AUG15 (as of SEP 1st)</t>
  </si>
  <si>
    <t>Sl#</t>
  </si>
  <si>
    <t>Commercial</t>
  </si>
  <si>
    <t>Medicaid</t>
  </si>
  <si>
    <t>Medicare</t>
  </si>
  <si>
    <t>SEP15 (as of OCT 1st)</t>
  </si>
  <si>
    <t>Current</t>
  </si>
  <si>
    <t>30 days</t>
  </si>
  <si>
    <t>120 days</t>
  </si>
  <si>
    <t>60 days</t>
  </si>
  <si>
    <t>90 days</t>
  </si>
  <si>
    <t>Total Nos</t>
  </si>
  <si>
    <t xml:space="preserve">Total Balance </t>
  </si>
  <si>
    <t>Ins Group</t>
  </si>
  <si>
    <t>Nos</t>
  </si>
  <si>
    <t xml:space="preserve">Balance </t>
  </si>
  <si>
    <t>Aetna</t>
  </si>
  <si>
    <t>BCBS</t>
  </si>
  <si>
    <t>Cigna</t>
  </si>
  <si>
    <t>OCT15 (as of NOV 1st)</t>
  </si>
  <si>
    <t>NOV15 (as of DEC 1st)</t>
  </si>
  <si>
    <t>AUS</t>
  </si>
  <si>
    <t>BOS</t>
  </si>
  <si>
    <t>CHI</t>
  </si>
  <si>
    <t>DFW</t>
  </si>
  <si>
    <t>HOU</t>
  </si>
  <si>
    <t>DEC15 (as of JAN 1st)</t>
  </si>
  <si>
    <t>Total Billed Charges</t>
  </si>
  <si>
    <t>Self Charges</t>
  </si>
  <si>
    <t>Total Payments</t>
  </si>
  <si>
    <t>Pt Payments</t>
  </si>
  <si>
    <t>Ins Payments</t>
  </si>
  <si>
    <t>JAN16 (as of FEB 1st)</t>
  </si>
  <si>
    <t>FEB16 (as of  MAR 1st)</t>
  </si>
  <si>
    <t>150 days</t>
  </si>
  <si>
    <t>180+ days</t>
  </si>
  <si>
    <t>MARKET</t>
  </si>
  <si>
    <t>Ins Charges</t>
  </si>
  <si>
    <t xml:space="preserve">Facility </t>
  </si>
  <si>
    <t>121-150</t>
  </si>
  <si>
    <t>151-180</t>
  </si>
  <si>
    <t>180+</t>
  </si>
  <si>
    <t>Patient-only DAR</t>
  </si>
  <si>
    <t>Refunds as % of Net Charges</t>
  </si>
  <si>
    <t>Average Gross Charge/Visit</t>
  </si>
  <si>
    <t>Avg Net Charge/Visit</t>
  </si>
  <si>
    <t>Month</t>
  </si>
  <si>
    <t>Total Ins AR $</t>
  </si>
  <si>
    <t>Total Patient AR $</t>
  </si>
  <si>
    <t>MS-AM-PC</t>
  </si>
  <si>
    <t>MS-AM-UC</t>
  </si>
  <si>
    <t>MS-BA-PC</t>
  </si>
  <si>
    <t>MS-BA-UC</t>
  </si>
  <si>
    <t>MS-CA-PC</t>
  </si>
  <si>
    <t>MS-CA-UC</t>
  </si>
  <si>
    <t>MS-CH-UC</t>
  </si>
  <si>
    <t>MS-CP-PC</t>
  </si>
  <si>
    <t>MS-CP-UC</t>
  </si>
  <si>
    <t>MS-RR-PC</t>
  </si>
  <si>
    <t>MS-RR-UC</t>
  </si>
  <si>
    <t>MS-SC-PC</t>
  </si>
  <si>
    <t>MS-SC-UC</t>
  </si>
  <si>
    <t>MS-SM-UC</t>
  </si>
  <si>
    <t>MS-SP-UC</t>
  </si>
  <si>
    <t>MS-UT-PC</t>
  </si>
  <si>
    <t>MS-UT-UC</t>
  </si>
  <si>
    <t>PUC-BL-UC</t>
  </si>
  <si>
    <t>MS-RN-UC</t>
  </si>
  <si>
    <t>MS-AH-PC</t>
  </si>
  <si>
    <t>MS-AH-UC</t>
  </si>
  <si>
    <t>MS-LL-PC</t>
  </si>
  <si>
    <t>MS-LL-UC</t>
  </si>
  <si>
    <t>MS-NA-PC</t>
  </si>
  <si>
    <t>MS-NA-UC</t>
  </si>
  <si>
    <t>MS-WE-UC</t>
  </si>
  <si>
    <t>MS-WL-UC</t>
  </si>
  <si>
    <t>MS-WP-UC</t>
  </si>
  <si>
    <t>MS-GR-UC</t>
  </si>
  <si>
    <t>MS-KH-UC</t>
  </si>
  <si>
    <t>MS-KL-UC</t>
  </si>
  <si>
    <t>MS-LC-UC</t>
  </si>
  <si>
    <t>MS-LT-UC</t>
  </si>
  <si>
    <t>MS-OL-UC</t>
  </si>
  <si>
    <t>MS-PV-UC</t>
  </si>
  <si>
    <t>MS-UP-UC</t>
  </si>
  <si>
    <t>MS-HT-UC</t>
  </si>
  <si>
    <t>MS-KT-PC</t>
  </si>
  <si>
    <t>MS-KT-UC</t>
  </si>
  <si>
    <t>MS-KW-PC</t>
  </si>
  <si>
    <t>MS-KW-UC</t>
  </si>
  <si>
    <t>MS-ME-PC</t>
  </si>
  <si>
    <t>MS-ME-UC</t>
  </si>
  <si>
    <t>MS-MH-UC</t>
  </si>
  <si>
    <t>MS-RO-PC</t>
  </si>
  <si>
    <t>MS-RO-UC</t>
  </si>
  <si>
    <t>MS-SL-PC</t>
  </si>
  <si>
    <t>MS-SL-UC</t>
  </si>
  <si>
    <t>MS-GW-UC</t>
  </si>
  <si>
    <t>Avg Gross Charge/Visit</t>
  </si>
  <si>
    <t>Avg Payment per Visit</t>
  </si>
  <si>
    <t>Facility</t>
  </si>
  <si>
    <t>Row Labels</t>
  </si>
  <si>
    <t>Grand Total</t>
  </si>
  <si>
    <t xml:space="preserve">Total Billed Charges </t>
  </si>
  <si>
    <t xml:space="preserve">Self Charges </t>
  </si>
  <si>
    <t xml:space="preserve">Ins Charges </t>
  </si>
  <si>
    <t>Total Pymnts</t>
  </si>
  <si>
    <t>Ins Pymnts</t>
  </si>
  <si>
    <t>Pt Pymnts</t>
  </si>
  <si>
    <t xml:space="preserve">Refunds </t>
  </si>
  <si>
    <t>Contractual Adj</t>
  </si>
  <si>
    <t>Other Adj</t>
  </si>
  <si>
    <t xml:space="preserve">Visits </t>
  </si>
  <si>
    <t xml:space="preserve">Avg Gross Charge/Visit </t>
  </si>
  <si>
    <t xml:space="preserve">  AR $ total</t>
  </si>
  <si>
    <t xml:space="preserve">  Total Ins AR $</t>
  </si>
  <si>
    <t xml:space="preserve">DAR </t>
  </si>
  <si>
    <t>Pt-Only DAR</t>
  </si>
  <si>
    <t>Total Pt AR $</t>
  </si>
  <si>
    <t>Avg Net Collection</t>
  </si>
  <si>
    <t xml:space="preserve">Refunds % of Net Charges </t>
  </si>
  <si>
    <t xml:space="preserve">Insurance AR &gt; 180 days  $ </t>
  </si>
  <si>
    <t xml:space="preserve">Insurance AR &gt; 90 days    % </t>
  </si>
  <si>
    <t xml:space="preserve">Insurance AR &gt; 90 days    $ </t>
  </si>
  <si>
    <t xml:space="preserve">Insurance AR &gt; 180 days  % </t>
  </si>
  <si>
    <t>Average</t>
  </si>
  <si>
    <t>-</t>
  </si>
  <si>
    <t>Targets</t>
  </si>
  <si>
    <t xml:space="preserve">Average </t>
  </si>
  <si>
    <t>`</t>
  </si>
  <si>
    <t>FEB16 (as of MAR 1st)</t>
  </si>
  <si>
    <r>
      <t xml:space="preserve">OCT'14 
</t>
    </r>
    <r>
      <rPr>
        <sz val="9"/>
        <rFont val="Calibri"/>
        <family val="2"/>
        <scheme val="minor"/>
      </rPr>
      <t>• MCR denied ~450 (total of ~$90k) claims requesting NPI and PTAN combination for a set of providers (Abbasi, Heath, Mai, Francis &amp; Lena). Issue has been escalated to the client.  Client is still working on this. As per the recent update, these claims have been sent to get paid by Medicare.  Medicare started paying on these claims, So far received $8 - 10k payment. 
• State office of Risk Management denied 70 claims worth of $25k for incorrect billing address. Issue escalated to client to get it fixed. Faxed the required information and it is still in the process of getting updated. Mailed the claims with all the required information, these claims are slowly getting processed.  So far received payment on 7 claims, 27-30 are denied for POTF issue, appealed these with necessary information, waiting to hear back on these and the rest. 
• Liberty Mutual denied 40 claims worth of ~20K for credentialing issue. Client is working on credentialing, however Liberty Mutual rejected the enrollment application stating do not want MedSpring to be enrolled due to having more Medicaid facilities in the same area; these claims appealed as per client instruction, as this should not be the reason to reject the application and deny claims.  Appeal process completed and started receiving response, few paid (~8 – 10 claims) and most denied for different reasons, working on them currently. 
• UD Dept of Labor issue resolved - pending response on the 2 claims from client. 
• ~360 Aetna HOU claims are sent to Aetna for review, we paid ~18K payment additionally, which were originally underpaid.  These also got posted in system. 
• Cigna claims processed for incorrect case rate are sent for review as special project. ETA is 60 days, expecting ~20K payment.  Cigna ran report on 10/17/14, requested to allow 2 weeks for status. 
• Patient AR growth is causing the increase in AR &gt;90.
• Other adjustment is $38k is due to CPT 99000, J3490 and 99173 inclusive adjustments.</t>
    </r>
  </si>
  <si>
    <r>
      <t xml:space="preserve">JUL'14 
</t>
    </r>
    <r>
      <rPr>
        <sz val="9"/>
        <rFont val="Calibri"/>
        <family val="2"/>
        <scheme val="minor"/>
      </rPr>
      <t>• As per the new protocol, the billing month is run from the 26th of June14 to the 25th Jul14. 
• Insurance AR &gt; 90 Days increased - Due to OCC Employer payment delay (~$100k).
• MCR denied ~450  (total of ~$100k) claims requesting NPI and PTAN combination for a set of providers (Abbasi, Heath, Mai, Francis &amp; Lena). Issue has been escalated to the client .  Client is still working on this. As per the recent update, these claims have been sent to get paid by Medicare. Still waiting for payment.
• 51 Tricare Claims ($12K) are denied for PTF as these were held due to credentialing issue, client is working on this with Tricare, waiting for further update. 
• Seton Denied ~50 claims worth of $22k for incorrect billing address. Issue escalated to client to get it fixed, and is still in process. Recently we provided paper claims for all affected claims to Seton to reprocess. Client working with Seton
• State office of Risk Management denied 77 claims worth of $30k for incorrect billing address. Issue escalated to client to get it fixed. Faxed the required information and it is still in the process of getting updated. Mailed the claims with all the required information, these claims are slowly getting processed
• UD Dept of Labor denied ~15 claim worth of $9 K claims for provider credentialing issue. 
• AR &gt;90 days has also increased. - Along with above insurance AR reasons, we have patient AR that is also growing which caused the increase in AR &gt;90.
• Patient AR increased due to Collection and Bad Debt adjustment writes ons.
• Other adjustment is $40k is due to CPT 99000, J3490 and 99173 inclusive adjustment.
• Refunds are down because of a problem on the client’s side with the vender they use for check writing. This has been taken care of and refunds are being processed again.</t>
    </r>
  </si>
  <si>
    <r>
      <rPr>
        <b/>
        <sz val="9"/>
        <color indexed="62"/>
        <rFont val="Calibri"/>
        <family val="2"/>
        <scheme val="minor"/>
      </rPr>
      <t>APR'14</t>
    </r>
    <r>
      <rPr>
        <sz val="9"/>
        <color indexed="62"/>
        <rFont val="Calibri"/>
        <family val="2"/>
        <scheme val="minor"/>
      </rPr>
      <t xml:space="preserve">
</t>
    </r>
    <r>
      <rPr>
        <sz val="9"/>
        <rFont val="Calibri"/>
        <family val="2"/>
        <scheme val="minor"/>
      </rPr>
      <t xml:space="preserve">• Insurance AR &gt; 90 Days increased - Due to OCC Employer payment delay (~$90k).
• MCR denied ~300  (total of ~$70k) claims requesting NPI and PTAN combination for set of providers (Abbasi, Heath, Mai, Francis &amp; Lena), issue is escalated to client .  Client still working on this
• Seton Denied ~30 claims worth of $5k for incorrect billing address, issue escalated to client to get it fixed, Still in process
• State office of Risk Management  denied 77 claims worth of $30k for incorrect billing address, issue escalated to client to get it fixed. Faxed the required information ins and it is still in process of getting updated.
• AR &gt;90 days is also increased. - Along with above insurance AR reason, we have patient AR also growing which caused the increase in AR &gt;90
• Patient AR increased due to Collection and Bad Debt adjustment writes ons.
•  Other adjustment is $33k is due to CPT 99000 and 99173 inclusive adjustment. </t>
    </r>
  </si>
  <si>
    <r>
      <t>MAR'14
•</t>
    </r>
    <r>
      <rPr>
        <b/>
        <sz val="9"/>
        <rFont val="Calibri"/>
        <family val="2"/>
        <scheme val="minor"/>
      </rPr>
      <t xml:space="preserve"> </t>
    </r>
    <r>
      <rPr>
        <sz val="9"/>
        <rFont val="Calibri"/>
        <family val="2"/>
        <scheme val="minor"/>
      </rPr>
      <t>Increase in charges / visits ad payments when compared with previous month.
• Insurance AR &gt; 90 Days increased - Due to OCC Employer payment delay (~$80k).
• MCR denied ~300  (total of ~$70k) claims requesting NPI and PTAN combination for set of providers (Abbasi, Heath, Mai, Francis &amp; Lena), issue is escalated to client . 
• Seton Denied ~30 claims worth of $5k for incorrect billing address, issue escalated to client to get it fixed
• State office of Risk Management  denied 77 claims worth of $30k for incorrect billing address, issue escalated to client to get it fixed
• AR &gt;90 days is also increased. - Along with above insurance AR reason, we have patient AR also growing which caused the increase in AR &gt;90
• Patient AR increased due to Collection and Bad Debt adjustment writes ons.</t>
    </r>
  </si>
  <si>
    <r>
      <rPr>
        <b/>
        <sz val="9"/>
        <color indexed="62"/>
        <rFont val="Calibri"/>
        <family val="2"/>
        <scheme val="minor"/>
      </rPr>
      <t>FEB'14</t>
    </r>
    <r>
      <rPr>
        <sz val="9"/>
        <color indexed="62"/>
        <rFont val="Calibri"/>
        <family val="2"/>
        <scheme val="minor"/>
      </rPr>
      <t xml:space="preserve">
</t>
    </r>
    <r>
      <rPr>
        <sz val="9"/>
        <rFont val="Calibri"/>
        <family val="2"/>
        <scheme val="minor"/>
      </rPr>
      <t>• Decrease in charges / visits when compared with previous months is because DEC13 and JAN14 had increased volume due to flu shot season.
• Insurance AR &gt; 90 Days increased - Due to OCC Employer payment delay (~$80k) . 
MCR denied ~300  (total of ~$70k) claims requesting NPI and PTAN combination for set of providers (Abbasi, Heath, Mai, Francis &amp; Lena), issue is escalated to client . 
• AR &gt;90 days is also increased. - Along with above insurance AR reason, we have patient AR also growing which caused the increase in AR &gt;90
• Patient AR increased due to Collection and Bad Debt adjustment write off.</t>
    </r>
  </si>
  <si>
    <r>
      <rPr>
        <b/>
        <sz val="9"/>
        <color indexed="62"/>
        <rFont val="Calibri"/>
        <family val="2"/>
        <scheme val="minor"/>
      </rPr>
      <t>JAN'14</t>
    </r>
    <r>
      <rPr>
        <sz val="9"/>
        <color indexed="62"/>
        <rFont val="Calibri"/>
        <family val="2"/>
        <scheme val="minor"/>
      </rPr>
      <t xml:space="preserve">
</t>
    </r>
    <r>
      <rPr>
        <sz val="9"/>
        <color indexed="8"/>
        <rFont val="Calibri"/>
        <family val="2"/>
        <scheme val="minor"/>
      </rPr>
      <t>• Again very good increment in both charges and payments when compared with last month.
• Insurance AR &gt; 90 Days increased - Due to OCC Employer payment delay. MCR denied the claim requesting NPI and PTAN combination. Ins AR will get reduced in next 30 days as we fixing these issues
• AR &gt;90 days as well Decreased. - Along with above insurance AR reason, we have patient AR also growing which caused the increase in AR &gt;90
• Patient AR has increased huge, is due to Collection and Bad Debt adjustment write on.
• Increase in # of visits when compared last month as patient in put increased.</t>
    </r>
  </si>
  <si>
    <r>
      <rPr>
        <b/>
        <sz val="9"/>
        <rFont val="Calibri"/>
        <family val="2"/>
        <scheme val="minor"/>
      </rPr>
      <t>Dec'13</t>
    </r>
    <r>
      <rPr>
        <sz val="9"/>
        <rFont val="Calibri"/>
        <family val="2"/>
        <scheme val="minor"/>
      </rPr>
      <t xml:space="preserve">
• Very good increment in both charges and payments when compared with last month.
• Insurance AR &gt; 90 Days decreased.
• AR &gt;90 days as well Decreased.
• Patient AR has increased huge, is due to Collection and Bad Debt adjustment write on.
• Increase in # of visits when compared last month.</t>
    </r>
  </si>
  <si>
    <r>
      <t xml:space="preserve">Nov'13
</t>
    </r>
    <r>
      <rPr>
        <sz val="9"/>
        <rFont val="Calibri"/>
        <family val="2"/>
        <scheme val="minor"/>
      </rPr>
      <t>Increase in charges and payments when compared to last month
2% increase in Ins AR 
Patient AR has increased huge, is due to Collection and Bad Debt adjustment write on
Increase in # of visits when compared last month.</t>
    </r>
  </si>
  <si>
    <r>
      <t xml:space="preserve">OCT'13
</t>
    </r>
    <r>
      <rPr>
        <sz val="9"/>
        <rFont val="Calibri"/>
        <family val="2"/>
        <scheme val="minor"/>
      </rPr>
      <t>Increase in charges and payments when compared to last month
2% increase on both Ins AR and total AR
Increase in # of visits when compared last month.</t>
    </r>
  </si>
  <si>
    <r>
      <t>SEP'13</t>
    </r>
    <r>
      <rPr>
        <sz val="9"/>
        <rFont val="Calibri"/>
        <family val="2"/>
        <scheme val="minor"/>
      </rPr>
      <t xml:space="preserve">
Increase in charges and payments when Compared to last month
AR &gt;90 - 8% Drop when compared to last month
Ins AR &gt;90 – 9% Drop when compared to last month
Decrease in # of visit when compared last month.</t>
    </r>
  </si>
  <si>
    <r>
      <t xml:space="preserve">AUG'13
</t>
    </r>
    <r>
      <rPr>
        <sz val="9"/>
        <rFont val="Calibri"/>
        <family val="2"/>
        <scheme val="minor"/>
      </rPr>
      <t>1. Increase in both charges, decrease payments, when compared to last month
2. Decrease on both insurance  and PT AR &gt; 90 days
3. Increase in # of visit when compared last month.</t>
    </r>
  </si>
  <si>
    <r>
      <t xml:space="preserve">July'13
</t>
    </r>
    <r>
      <rPr>
        <sz val="9"/>
        <rFont val="Calibri"/>
        <family val="2"/>
        <scheme val="minor"/>
      </rPr>
      <t xml:space="preserve">1. Increase in both charges and payments, when compared to last month
2. Decrease on both insurance  and PT AR </t>
    </r>
  </si>
  <si>
    <r>
      <t xml:space="preserve">JUN'13
</t>
    </r>
    <r>
      <rPr>
        <sz val="9"/>
        <rFont val="Calibri"/>
        <family val="2"/>
        <scheme val="minor"/>
      </rPr>
      <t xml:space="preserve">1. Decrease in both charges and payments, when compared to last month
2. Increase on  both insurance and PT AR is due to reduce is $ value in 0-30, 61 -90 &amp; 91 - 120 buckets. This impacted on Total insurance and PT AR &gt; 90 days %   </t>
    </r>
  </si>
  <si>
    <r>
      <t xml:space="preserve">MAY'13
</t>
    </r>
    <r>
      <rPr>
        <sz val="9"/>
        <rFont val="Calibri"/>
        <family val="2"/>
        <scheme val="minor"/>
      </rPr>
      <t>1. Increase in charges  and slight decrease in payments, when compared to last month
2. 1% Increase on  both insurance and PT AR</t>
    </r>
  </si>
  <si>
    <r>
      <t xml:space="preserve">APR'13
</t>
    </r>
    <r>
      <rPr>
        <sz val="9"/>
        <rFont val="Calibri"/>
        <family val="2"/>
        <scheme val="minor"/>
      </rPr>
      <t>1. Decrease in charges, when compared to last month
2. 2% Decrease on insurance AR
3. 1% Increase on Total AR.</t>
    </r>
  </si>
  <si>
    <r>
      <t xml:space="preserve">MAR'13
</t>
    </r>
    <r>
      <rPr>
        <sz val="9"/>
        <rFont val="Calibri"/>
        <family val="2"/>
        <scheme val="minor"/>
      </rPr>
      <t xml:space="preserve">1. Increase in both charges and payments, when compared to last month
2. Decrease on both insurance  and PT AR </t>
    </r>
  </si>
  <si>
    <r>
      <t xml:space="preserve">FEB'13
</t>
    </r>
    <r>
      <rPr>
        <sz val="9"/>
        <rFont val="Calibri"/>
        <family val="2"/>
        <scheme val="minor"/>
      </rPr>
      <t xml:space="preserve">1. Decrease in both charges and payments, when compared to last month
2. Increase on both insurance  and PT AR </t>
    </r>
  </si>
  <si>
    <r>
      <t xml:space="preserve">Jan'13
</t>
    </r>
    <r>
      <rPr>
        <sz val="9"/>
        <rFont val="Calibri"/>
        <family val="2"/>
        <scheme val="minor"/>
      </rPr>
      <t xml:space="preserve">1. Increase in both charges and payments, when compared to last month
2. I% increase on  insurance AR </t>
    </r>
  </si>
  <si>
    <r>
      <t xml:space="preserve">Dec'12
</t>
    </r>
    <r>
      <rPr>
        <sz val="9"/>
        <rFont val="Calibri"/>
        <family val="2"/>
        <scheme val="minor"/>
      </rPr>
      <t xml:space="preserve">1. Increase in both charges and payments, when compared to last month
2. I% increase on  insurance AR </t>
    </r>
  </si>
  <si>
    <r>
      <t xml:space="preserve">Nov'12
</t>
    </r>
    <r>
      <rPr>
        <sz val="9"/>
        <rFont val="Calibri"/>
        <family val="2"/>
        <scheme val="minor"/>
      </rPr>
      <t xml:space="preserve">1. Increase in the charges, when compared to last month
2. Slight decrease in payment
3. I% increase on both total AR and insurance AR </t>
    </r>
  </si>
  <si>
    <t>MAR16 (as of APR 1st)</t>
  </si>
  <si>
    <t>%2</t>
  </si>
  <si>
    <t>%3</t>
  </si>
  <si>
    <t>%4</t>
  </si>
  <si>
    <t>%6</t>
  </si>
  <si>
    <t>%8</t>
  </si>
  <si>
    <t>%10</t>
  </si>
  <si>
    <t>%12</t>
  </si>
  <si>
    <t>Ins-Only DAR</t>
  </si>
  <si>
    <t>Net Payments</t>
  </si>
  <si>
    <t xml:space="preserve">Avg Net Charge/Visit </t>
  </si>
  <si>
    <t xml:space="preserve">Avg Payment per Visit </t>
  </si>
  <si>
    <t xml:space="preserve">Avg Gross Collections </t>
  </si>
  <si>
    <t>MAR16 (as of  APR 1st)</t>
  </si>
  <si>
    <t>APR16 (as of MAY 1st)</t>
  </si>
  <si>
    <t>Ins Only 91-120</t>
  </si>
  <si>
    <t>Ins Only 121-150</t>
  </si>
  <si>
    <t>Ins Only 151-180</t>
  </si>
  <si>
    <t>Ins Only 180+</t>
  </si>
  <si>
    <t xml:space="preserve">Pt Only 91-120  </t>
  </si>
  <si>
    <t xml:space="preserve">Pt Only 121-150  </t>
  </si>
  <si>
    <t xml:space="preserve">Pt Only 151-180  </t>
  </si>
  <si>
    <t xml:space="preserve">Pt Only 180+  </t>
  </si>
  <si>
    <t>90-120%</t>
  </si>
  <si>
    <t xml:space="preserve">121-150%  </t>
  </si>
  <si>
    <t>151-180%</t>
  </si>
  <si>
    <t xml:space="preserve">180+ %    </t>
  </si>
  <si>
    <t>MS-WS-UC</t>
  </si>
  <si>
    <t>MAY16 (as of JUN 1st)</t>
  </si>
  <si>
    <t>0-180</t>
  </si>
  <si>
    <t xml:space="preserve">180 + </t>
  </si>
  <si>
    <t>180 +</t>
  </si>
  <si>
    <t>JUN16 (as of JUL 1st)</t>
  </si>
  <si>
    <t>JUL16 (as of AUG 1st)</t>
  </si>
  <si>
    <t>Aug'16</t>
  </si>
  <si>
    <t>Sep'16</t>
  </si>
  <si>
    <t>Oct'16</t>
  </si>
  <si>
    <t>AUG16 (as of SEP 1st)</t>
  </si>
  <si>
    <t>SEP16 (as of OCT 1st)</t>
  </si>
  <si>
    <t>OCT16 (as of NOV 1st)</t>
  </si>
  <si>
    <t>Occ Med</t>
  </si>
  <si>
    <t>MS-ND-UC</t>
  </si>
  <si>
    <t>MS-RC-UC</t>
  </si>
  <si>
    <t>PUC-NT-UC</t>
  </si>
  <si>
    <t>PUC-WT-UC</t>
  </si>
  <si>
    <t>NOV16 (as of DEC 1st)</t>
  </si>
  <si>
    <t>Nov'16</t>
  </si>
  <si>
    <t>MS-NF-UC</t>
  </si>
  <si>
    <t>$0.00</t>
  </si>
  <si>
    <t>0.00%</t>
  </si>
  <si>
    <t>0.00</t>
  </si>
  <si>
    <t>PUC-BB-UC</t>
  </si>
  <si>
    <t>DEC16 (as of JAN'17 1st)</t>
  </si>
  <si>
    <t>Dec'16</t>
  </si>
  <si>
    <t>MS-BR-UC</t>
  </si>
  <si>
    <t>PUC-CS-UC</t>
  </si>
  <si>
    <t>JAN17 (as of FEB'17 1st)</t>
  </si>
  <si>
    <t>DEC16 (as of JAN17)</t>
  </si>
  <si>
    <t>JAN17 (as of FEB17)</t>
  </si>
  <si>
    <t>Jan'17</t>
  </si>
  <si>
    <t>FEB17 (as of MAR'17 1st)</t>
  </si>
  <si>
    <t>MS-FL-UC</t>
  </si>
  <si>
    <t>Feb'17</t>
  </si>
  <si>
    <t>MS-WR-UC</t>
  </si>
  <si>
    <t>Mar'17</t>
  </si>
  <si>
    <t>MAR17 (as of APR'17 1st)</t>
  </si>
  <si>
    <t>PUC-CN-UC</t>
  </si>
  <si>
    <t>Apr'17</t>
  </si>
  <si>
    <t>Description Notes - Apr'17</t>
  </si>
  <si>
    <t>United</t>
  </si>
  <si>
    <t>Work Comp</t>
  </si>
  <si>
    <t>Facility 1</t>
  </si>
  <si>
    <t>Facility 5</t>
  </si>
  <si>
    <t>Facility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</si>
</sst>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00_);[Red]\(&quot;$&quot;#,##0.00\)"/>
    <numFmt numFmtId="165" formatCode="mmm\-yy;@"/>
    <numFmt numFmtId="166" formatCode="mmmm\-yy;@"/>
    <numFmt numFmtId="167" formatCode="\$#,##0.00"/>
    <numFmt numFmtId="168" formatCode="0.0"/>
    <numFmt numFmtId="169" formatCode="\$#,##0.00_);[Red]&quot;($&quot;#,##0.00\)"/>
    <numFmt numFmtId="170" formatCode="0.00_);[Red]\(0.00\)"/>
    <numFmt numFmtId="171" formatCode="mmm\-yyyy"/>
    <numFmt numFmtId="172" formatCode="#,##0.0000000000"/>
  </numFmts>
  <fonts count="5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name val="Arial"/>
      <family val="2"/>
    </font>
    <font>
      <sz val="11"/>
      <color indexed="62"/>
      <name val="Calibri"/>
      <family val="2"/>
    </font>
    <font>
      <sz val="11"/>
      <name val="Calibri"/>
      <family val="2"/>
    </font>
    <font>
      <b/>
      <sz val="11"/>
      <color indexed="62"/>
      <name val="Calibri"/>
      <family val="2"/>
    </font>
    <font>
      <b/>
      <sz val="10"/>
      <name val="Arial"/>
      <family val="2"/>
    </font>
    <font>
      <b/>
      <sz val="8"/>
      <color indexed="31"/>
      <name val="Arial"/>
      <family val="2"/>
    </font>
    <font>
      <sz val="8"/>
      <name val="Tahoma"/>
      <family val="2"/>
    </font>
    <font>
      <sz val="8"/>
      <color indexed="8"/>
      <name val="Arial"/>
      <family val="2"/>
    </font>
    <font>
      <sz val="8"/>
      <color indexed="21"/>
      <name val="Tahoma"/>
      <family val="2"/>
    </font>
    <font>
      <sz val="10"/>
      <name val="Arial"/>
      <family val="2"/>
    </font>
    <font>
      <b/>
      <sz val="10"/>
      <color indexed="62"/>
      <name val="Calibri"/>
      <family val="2"/>
    </font>
    <font>
      <sz val="10"/>
      <name val="Calibri"/>
      <family val="2"/>
    </font>
    <font>
      <sz val="10"/>
      <color indexed="62"/>
      <name val="Calibri"/>
      <family val="2"/>
    </font>
    <font>
      <b/>
      <sz val="10"/>
      <name val="Calibri"/>
      <family val="2"/>
    </font>
    <font>
      <sz val="10"/>
      <color indexed="8"/>
      <name val="Calibri"/>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8"/>
      <color theme="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Calibri"/>
      <family val="2"/>
      <scheme val="minor"/>
    </font>
    <font>
      <b/>
      <sz val="10"/>
      <color theme="1"/>
      <name val="Calibri"/>
      <family val="2"/>
      <scheme val="minor"/>
    </font>
    <font>
      <b/>
      <sz val="10"/>
      <name val="Calibri"/>
      <family val="2"/>
      <scheme val="minor"/>
    </font>
    <font>
      <b/>
      <sz val="8"/>
      <name val="Tahoma"/>
      <family val="2"/>
    </font>
    <font>
      <sz val="9"/>
      <name val="Calibri"/>
      <family val="2"/>
      <scheme val="minor"/>
    </font>
    <font>
      <b/>
      <sz val="9"/>
      <name val="Calibri"/>
      <family val="2"/>
      <scheme val="minor"/>
    </font>
    <font>
      <b/>
      <sz val="9"/>
      <color theme="3"/>
      <name val="Calibri"/>
      <family val="2"/>
      <scheme val="minor"/>
    </font>
    <font>
      <b/>
      <sz val="9"/>
      <color indexed="62"/>
      <name val="Calibri"/>
      <family val="2"/>
      <scheme val="minor"/>
    </font>
    <font>
      <sz val="9"/>
      <color indexed="62"/>
      <name val="Calibri"/>
      <family val="2"/>
      <scheme val="minor"/>
    </font>
    <font>
      <sz val="9"/>
      <color indexed="8"/>
      <name val="Calibri"/>
      <family val="2"/>
      <scheme val="minor"/>
    </font>
    <font>
      <sz val="10"/>
      <name val="Calibri"/>
      <family val="2"/>
      <scheme val="minor"/>
    </font>
    <font>
      <sz val="10"/>
      <name val="Calibri"/>
      <family val="2"/>
      <scheme val="minor"/>
    </font>
    <font>
      <sz val="11"/>
      <name val="Calibri"/>
      <family val="2"/>
      <scheme val="minor"/>
    </font>
    <font>
      <sz val="10"/>
      <name val="Calibri"/>
      <family val="2"/>
      <scheme val="minor"/>
    </font>
    <font>
      <sz val="11"/>
      <name val="Calibri"/>
      <family val="2"/>
      <scheme val="minor"/>
    </font>
    <font>
      <sz val="10"/>
      <name val="Calibri"/>
      <scheme val="minor"/>
    </font>
  </fonts>
  <fills count="60">
    <fill>
      <patternFill patternType="none"/>
    </fill>
    <fill>
      <patternFill patternType="gray125"/>
    </fill>
    <fill>
      <patternFill patternType="solid">
        <fgColor indexed="26"/>
        <bgColor indexed="9"/>
      </patternFill>
    </fill>
    <fill>
      <patternFill patternType="solid">
        <fgColor indexed="56"/>
        <bgColor indexed="62"/>
      </patternFill>
    </fill>
    <fill>
      <patternFill patternType="solid">
        <fgColor indexed="27"/>
        <bgColor indexed="41"/>
      </patternFill>
    </fill>
    <fill>
      <patternFill patternType="solid">
        <fgColor theme="0"/>
        <bgColor indexed="42"/>
      </patternFill>
    </fill>
    <fill>
      <patternFill patternType="solid">
        <fgColor theme="0"/>
        <bgColor indexed="64"/>
      </patternFill>
    </fill>
    <fill>
      <patternFill patternType="solid">
        <fgColor theme="0"/>
        <bgColor indexed="41"/>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99"/>
        <bgColor indexed="64"/>
      </patternFill>
    </fill>
    <fill>
      <patternFill patternType="solid">
        <fgColor rgb="FFFFD5D5"/>
        <bgColor indexed="64"/>
      </patternFill>
    </fill>
    <fill>
      <patternFill patternType="solid">
        <fgColor rgb="FFFF9F9F"/>
        <bgColor indexed="64"/>
      </patternFill>
    </fill>
    <fill>
      <patternFill patternType="solid">
        <fgColor rgb="FFFF7C80"/>
        <bgColor indexed="64"/>
      </patternFill>
    </fill>
    <fill>
      <patternFill patternType="solid">
        <fgColor rgb="FFF42828"/>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6" tint="0.39997558519241921"/>
        <bgColor indexed="64"/>
      </patternFill>
    </fill>
    <fill>
      <patternFill patternType="solid">
        <fgColor theme="3" tint="0.59999389629810485"/>
        <bgColor theme="4" tint="0.79998168889431442"/>
      </patternFill>
    </fill>
    <fill>
      <patternFill patternType="solid">
        <fgColor theme="3" tint="0.39997558519241921"/>
        <bgColor indexed="64"/>
      </patternFill>
    </fill>
    <fill>
      <patternFill patternType="solid">
        <fgColor rgb="FF99CCFF"/>
        <bgColor indexed="64"/>
      </patternFill>
    </fill>
    <fill>
      <patternFill patternType="solid">
        <fgColor rgb="FF66FFFF"/>
        <bgColor indexed="41"/>
      </patternFill>
    </fill>
    <fill>
      <patternFill patternType="solid">
        <fgColor rgb="FF8BFFFF"/>
        <bgColor indexed="41"/>
      </patternFill>
    </fill>
    <fill>
      <patternFill patternType="solid">
        <fgColor rgb="FF00FFFF"/>
        <bgColor indexed="41"/>
      </patternFill>
    </fill>
    <fill>
      <patternFill patternType="solid">
        <fgColor rgb="FF00FFFF"/>
        <bgColor indexed="64"/>
      </patternFill>
    </fill>
  </fills>
  <borders count="106">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bottom style="medium">
        <color indexed="8"/>
      </bottom>
      <diagonal/>
    </border>
    <border>
      <left/>
      <right/>
      <top style="thin">
        <color indexed="8"/>
      </top>
      <bottom/>
      <diagonal/>
    </border>
    <border>
      <left style="medium">
        <color indexed="8"/>
      </left>
      <right/>
      <top style="thin">
        <color indexed="8"/>
      </top>
      <bottom/>
      <diagonal/>
    </border>
    <border>
      <left/>
      <right/>
      <top style="medium">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right style="thin">
        <color indexed="8"/>
      </right>
      <top/>
      <bottom/>
      <diagonal/>
    </border>
    <border>
      <left style="medium">
        <color indexed="64"/>
      </left>
      <right/>
      <top/>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8"/>
      </top>
      <bottom/>
      <diagonal/>
    </border>
    <border>
      <left style="medium">
        <color indexed="64"/>
      </left>
      <right/>
      <top style="thin">
        <color indexed="8"/>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s>
  <cellStyleXfs count="163">
    <xf numFmtId="0" fontId="0" fillId="0" borderId="0"/>
    <xf numFmtId="0" fontId="16" fillId="0" borderId="0">
      <alignment vertical="top"/>
    </xf>
    <xf numFmtId="0" fontId="22" fillId="0" borderId="0"/>
    <xf numFmtId="0" fontId="16" fillId="2" borderId="1" applyNumberFormat="0" applyAlignment="0" applyProtection="0"/>
    <xf numFmtId="9" fontId="16" fillId="0" borderId="0" applyFill="0" applyBorder="0" applyAlignment="0" applyProtection="0"/>
    <xf numFmtId="0" fontId="5" fillId="0" borderId="0"/>
    <xf numFmtId="0" fontId="27" fillId="0" borderId="0" applyNumberFormat="0" applyFill="0" applyBorder="0" applyAlignment="0" applyProtection="0"/>
    <xf numFmtId="0" fontId="28" fillId="0" borderId="51" applyNumberFormat="0" applyFill="0" applyAlignment="0" applyProtection="0"/>
    <xf numFmtId="0" fontId="29" fillId="0" borderId="5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4" applyNumberFormat="0" applyAlignment="0" applyProtection="0"/>
    <xf numFmtId="0" fontId="35" fillId="16" borderId="55" applyNumberFormat="0" applyAlignment="0" applyProtection="0"/>
    <xf numFmtId="0" fontId="36" fillId="16" borderId="54" applyNumberFormat="0" applyAlignment="0" applyProtection="0"/>
    <xf numFmtId="0" fontId="37" fillId="0" borderId="56" applyNumberFormat="0" applyFill="0" applyAlignment="0" applyProtection="0"/>
    <xf numFmtId="0" fontId="38" fillId="17" borderId="5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3" fillId="0" borderId="59" applyNumberFormat="0" applyFill="0" applyAlignment="0" applyProtection="0"/>
    <xf numFmtId="0" fontId="4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1" fillId="42" borderId="0" applyNumberFormat="0" applyBorder="0" applyAlignment="0" applyProtection="0"/>
    <xf numFmtId="0" fontId="4" fillId="0" borderId="0"/>
    <xf numFmtId="0" fontId="4" fillId="18" borderId="58" applyNumberFormat="0" applyFont="0" applyAlignment="0" applyProtection="0"/>
    <xf numFmtId="0" fontId="3" fillId="0" borderId="0"/>
    <xf numFmtId="9" fontId="3" fillId="0" borderId="0" applyFont="0" applyFill="0" applyBorder="0" applyAlignment="0" applyProtection="0"/>
    <xf numFmtId="0" fontId="3" fillId="18" borderId="58"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6" fillId="0" borderId="0"/>
    <xf numFmtId="0" fontId="2" fillId="0" borderId="0"/>
    <xf numFmtId="9" fontId="16" fillId="0" borderId="0" applyFill="0" applyBorder="0" applyAlignment="0" applyProtection="0"/>
    <xf numFmtId="0" fontId="2" fillId="0" borderId="0"/>
    <xf numFmtId="0" fontId="2" fillId="0" borderId="0"/>
    <xf numFmtId="0" fontId="2" fillId="18" borderId="58" applyNumberFormat="0" applyFont="0" applyAlignment="0" applyProtection="0"/>
    <xf numFmtId="0" fontId="2" fillId="0" borderId="0"/>
    <xf numFmtId="9" fontId="2" fillId="0" borderId="0" applyFont="0" applyFill="0" applyBorder="0" applyAlignment="0" applyProtection="0"/>
    <xf numFmtId="0" fontId="2" fillId="18" borderId="58"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6" fillId="0" borderId="0"/>
    <xf numFmtId="0" fontId="1" fillId="0" borderId="0"/>
    <xf numFmtId="9" fontId="16" fillId="0" borderId="0" applyFill="0" applyBorder="0" applyAlignment="0" applyProtection="0"/>
    <xf numFmtId="0" fontId="1" fillId="0" borderId="0"/>
    <xf numFmtId="0" fontId="1" fillId="0" borderId="0"/>
    <xf numFmtId="0" fontId="1" fillId="18" borderId="58" applyNumberFormat="0" applyFont="0" applyAlignment="0" applyProtection="0"/>
    <xf numFmtId="0" fontId="1" fillId="0" borderId="0"/>
    <xf numFmtId="9" fontId="1" fillId="0" borderId="0" applyFont="0" applyFill="0" applyBorder="0" applyAlignment="0" applyProtection="0"/>
    <xf numFmtId="0" fontId="1" fillId="18" borderId="58"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0" fontId="1" fillId="0" borderId="0"/>
    <xf numFmtId="0" fontId="1" fillId="0" borderId="0"/>
    <xf numFmtId="0" fontId="1" fillId="18" borderId="58" applyNumberFormat="0" applyFont="0" applyAlignment="0" applyProtection="0"/>
    <xf numFmtId="0" fontId="1" fillId="0" borderId="0"/>
    <xf numFmtId="9" fontId="1" fillId="0" borderId="0" applyFont="0" applyFill="0" applyBorder="0" applyAlignment="0" applyProtection="0"/>
    <xf numFmtId="0" fontId="1" fillId="18" borderId="58"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898">
    <xf numFmtId="0" fontId="0" fillId="0" borderId="0" xfId="0"/>
    <xf numFmtId="0" fontId="6" fillId="0" borderId="0" xfId="0" applyFont="1"/>
    <xf numFmtId="167" fontId="6" fillId="0" borderId="4" xfId="0" applyNumberFormat="1" applyFont="1" applyFill="1" applyBorder="1"/>
    <xf numFmtId="167" fontId="6" fillId="0" borderId="5" xfId="0" applyNumberFormat="1" applyFont="1" applyFill="1" applyBorder="1"/>
    <xf numFmtId="167" fontId="6" fillId="0" borderId="3" xfId="0" applyNumberFormat="1" applyFont="1" applyFill="1" applyBorder="1"/>
    <xf numFmtId="167" fontId="6" fillId="0" borderId="6" xfId="0" applyNumberFormat="1" applyFont="1" applyFill="1" applyBorder="1"/>
    <xf numFmtId="3" fontId="6" fillId="0" borderId="4" xfId="0" applyNumberFormat="1" applyFont="1" applyFill="1" applyBorder="1"/>
    <xf numFmtId="3" fontId="6" fillId="0" borderId="3" xfId="0" applyNumberFormat="1" applyFont="1" applyFill="1" applyBorder="1"/>
    <xf numFmtId="3" fontId="6" fillId="0" borderId="6" xfId="0" applyNumberFormat="1" applyFont="1" applyFill="1" applyBorder="1"/>
    <xf numFmtId="167" fontId="6" fillId="0" borderId="7" xfId="0" applyNumberFormat="1" applyFont="1" applyFill="1" applyBorder="1"/>
    <xf numFmtId="167" fontId="6" fillId="0" borderId="6" xfId="4" applyNumberFormat="1" applyFont="1" applyFill="1" applyBorder="1" applyAlignment="1" applyProtection="1"/>
    <xf numFmtId="9" fontId="6" fillId="0" borderId="7" xfId="4" applyFont="1" applyFill="1" applyBorder="1" applyAlignment="1" applyProtection="1"/>
    <xf numFmtId="9" fontId="6" fillId="0" borderId="6" xfId="4" applyFont="1" applyFill="1" applyBorder="1" applyAlignment="1" applyProtection="1"/>
    <xf numFmtId="167" fontId="6" fillId="0" borderId="4" xfId="4" applyNumberFormat="1" applyFont="1" applyFill="1" applyBorder="1" applyAlignment="1" applyProtection="1"/>
    <xf numFmtId="167" fontId="6" fillId="0" borderId="3" xfId="4" applyNumberFormat="1" applyFont="1" applyFill="1" applyBorder="1" applyAlignment="1" applyProtection="1"/>
    <xf numFmtId="9" fontId="6" fillId="0" borderId="7" xfId="4" applyNumberFormat="1" applyFont="1" applyFill="1" applyBorder="1" applyAlignment="1" applyProtection="1"/>
    <xf numFmtId="9" fontId="6" fillId="0" borderId="6" xfId="4" applyNumberFormat="1" applyFont="1" applyFill="1" applyBorder="1" applyAlignment="1" applyProtection="1"/>
    <xf numFmtId="0" fontId="7" fillId="0" borderId="0" xfId="0" applyFont="1" applyBorder="1"/>
    <xf numFmtId="0" fontId="6" fillId="0" borderId="0" xfId="0" applyFont="1" applyBorder="1"/>
    <xf numFmtId="0" fontId="0" fillId="0" borderId="0" xfId="0" applyBorder="1"/>
    <xf numFmtId="169" fontId="0" fillId="0" borderId="0" xfId="0" applyNumberFormat="1" applyAlignment="1">
      <alignment horizontal="center"/>
    </xf>
    <xf numFmtId="0" fontId="0" fillId="0" borderId="0" xfId="0" applyAlignment="1">
      <alignment horizontal="center"/>
    </xf>
    <xf numFmtId="166" fontId="11" fillId="0" borderId="0" xfId="0" applyNumberFormat="1" applyFont="1" applyAlignment="1">
      <alignment horizontal="left"/>
    </xf>
    <xf numFmtId="0" fontId="12" fillId="3" borderId="8" xfId="0" applyFont="1" applyFill="1" applyBorder="1"/>
    <xf numFmtId="169" fontId="12" fillId="3" borderId="2" xfId="0" applyNumberFormat="1" applyFont="1" applyFill="1" applyBorder="1" applyAlignment="1">
      <alignment horizontal="center"/>
    </xf>
    <xf numFmtId="0" fontId="12" fillId="3" borderId="2" xfId="0" applyFont="1" applyFill="1" applyBorder="1" applyAlignment="1">
      <alignment horizontal="center"/>
    </xf>
    <xf numFmtId="0" fontId="12" fillId="3" borderId="9" xfId="0" applyFont="1" applyFill="1" applyBorder="1" applyAlignment="1">
      <alignment horizontal="center"/>
    </xf>
    <xf numFmtId="0" fontId="12" fillId="3" borderId="8" xfId="0" applyFont="1" applyFill="1" applyBorder="1" applyAlignment="1">
      <alignment horizontal="center"/>
    </xf>
    <xf numFmtId="0" fontId="7" fillId="0" borderId="10" xfId="0" applyFont="1" applyBorder="1"/>
    <xf numFmtId="167" fontId="6" fillId="0" borderId="3" xfId="0" applyNumberFormat="1" applyFont="1" applyBorder="1" applyAlignment="1">
      <alignment horizontal="center"/>
    </xf>
    <xf numFmtId="9" fontId="13" fillId="0" borderId="11" xfId="4" applyFont="1" applyFill="1" applyBorder="1" applyAlignment="1" applyProtection="1">
      <alignment horizontal="center"/>
    </xf>
    <xf numFmtId="167" fontId="6" fillId="0" borderId="5" xfId="0" applyNumberFormat="1" applyFont="1" applyBorder="1" applyAlignment="1">
      <alignment horizontal="center"/>
    </xf>
    <xf numFmtId="169" fontId="6" fillId="0" borderId="4" xfId="0" applyNumberFormat="1" applyFont="1" applyBorder="1" applyAlignment="1">
      <alignment horizontal="center"/>
    </xf>
    <xf numFmtId="169" fontId="6" fillId="0" borderId="3" xfId="0" applyNumberFormat="1" applyFont="1" applyBorder="1" applyAlignment="1">
      <alignment horizontal="center"/>
    </xf>
    <xf numFmtId="9" fontId="13" fillId="0" borderId="3" xfId="4" applyFont="1" applyFill="1" applyBorder="1" applyAlignment="1" applyProtection="1">
      <alignment horizontal="center"/>
    </xf>
    <xf numFmtId="0" fontId="7" fillId="0" borderId="12" xfId="0" applyFont="1" applyBorder="1"/>
    <xf numFmtId="167" fontId="6" fillId="0" borderId="6" xfId="0" applyNumberFormat="1" applyFont="1" applyBorder="1" applyAlignment="1">
      <alignment horizontal="center"/>
    </xf>
    <xf numFmtId="9" fontId="6" fillId="0" borderId="13" xfId="4" applyFont="1" applyFill="1" applyBorder="1" applyAlignment="1" applyProtection="1">
      <alignment horizontal="center"/>
    </xf>
    <xf numFmtId="169" fontId="14" fillId="0" borderId="7" xfId="0" applyNumberFormat="1" applyFont="1" applyBorder="1" applyAlignment="1">
      <alignment horizontal="center"/>
    </xf>
    <xf numFmtId="9" fontId="6" fillId="0" borderId="6" xfId="4" applyFont="1" applyFill="1" applyBorder="1" applyAlignment="1" applyProtection="1">
      <alignment horizontal="center"/>
    </xf>
    <xf numFmtId="0" fontId="7" fillId="0" borderId="14" xfId="0" applyFont="1" applyBorder="1"/>
    <xf numFmtId="167" fontId="6" fillId="0" borderId="15" xfId="0" applyNumberFormat="1" applyFont="1" applyBorder="1" applyAlignment="1">
      <alignment horizontal="center"/>
    </xf>
    <xf numFmtId="167" fontId="6" fillId="0" borderId="16" xfId="0" applyNumberFormat="1" applyFont="1" applyBorder="1" applyAlignment="1">
      <alignment horizontal="center"/>
    </xf>
    <xf numFmtId="9" fontId="6" fillId="0" borderId="17" xfId="4" applyFont="1" applyFill="1" applyBorder="1" applyAlignment="1" applyProtection="1">
      <alignment horizontal="center"/>
    </xf>
    <xf numFmtId="169" fontId="14" fillId="0" borderId="18" xfId="0" applyNumberFormat="1" applyFont="1" applyBorder="1" applyAlignment="1">
      <alignment horizontal="center"/>
    </xf>
    <xf numFmtId="10" fontId="6" fillId="0" borderId="15" xfId="4" applyNumberFormat="1" applyFont="1" applyFill="1" applyBorder="1" applyAlignment="1" applyProtection="1">
      <alignment horizontal="center"/>
    </xf>
    <xf numFmtId="0" fontId="7" fillId="0" borderId="8" xfId="0" applyFont="1" applyBorder="1"/>
    <xf numFmtId="169" fontId="7" fillId="0" borderId="2" xfId="0" applyNumberFormat="1" applyFont="1" applyBorder="1" applyAlignment="1">
      <alignment horizontal="center"/>
    </xf>
    <xf numFmtId="9" fontId="7" fillId="0" borderId="9" xfId="4" applyFont="1" applyFill="1" applyBorder="1" applyAlignment="1" applyProtection="1">
      <alignment horizontal="center"/>
    </xf>
    <xf numFmtId="169" fontId="6" fillId="0" borderId="8" xfId="0" applyNumberFormat="1" applyFont="1" applyBorder="1" applyAlignment="1">
      <alignment horizontal="center"/>
    </xf>
    <xf numFmtId="9" fontId="7" fillId="0" borderId="2" xfId="4" applyFont="1" applyFill="1" applyBorder="1" applyAlignment="1" applyProtection="1">
      <alignment horizontal="center"/>
    </xf>
    <xf numFmtId="169" fontId="7" fillId="0" borderId="0" xfId="0" applyNumberFormat="1" applyFont="1" applyBorder="1" applyAlignment="1">
      <alignment horizontal="center"/>
    </xf>
    <xf numFmtId="9" fontId="7" fillId="0" borderId="0" xfId="4" applyFont="1" applyFill="1" applyBorder="1" applyAlignment="1" applyProtection="1">
      <alignment horizontal="center"/>
    </xf>
    <xf numFmtId="169" fontId="6" fillId="0" borderId="0" xfId="0" applyNumberFormat="1" applyFont="1" applyBorder="1" applyAlignment="1">
      <alignment horizontal="center"/>
    </xf>
    <xf numFmtId="170" fontId="6" fillId="0" borderId="4" xfId="0" applyNumberFormat="1" applyFont="1" applyBorder="1" applyAlignment="1">
      <alignment horizontal="center"/>
    </xf>
    <xf numFmtId="170" fontId="14" fillId="0" borderId="7" xfId="0" applyNumberFormat="1" applyFont="1" applyBorder="1" applyAlignment="1">
      <alignment horizontal="center"/>
    </xf>
    <xf numFmtId="170" fontId="14" fillId="0" borderId="18" xfId="0" applyNumberFormat="1" applyFont="1" applyBorder="1" applyAlignment="1">
      <alignment horizontal="center"/>
    </xf>
    <xf numFmtId="169" fontId="15" fillId="0" borderId="5" xfId="0" applyNumberFormat="1" applyFont="1" applyBorder="1" applyAlignment="1">
      <alignment horizontal="center"/>
    </xf>
    <xf numFmtId="169" fontId="6" fillId="0" borderId="11" xfId="0" applyNumberFormat="1" applyFont="1" applyBorder="1" applyAlignment="1">
      <alignment horizontal="center"/>
    </xf>
    <xf numFmtId="169" fontId="14" fillId="0" borderId="3" xfId="0" applyNumberFormat="1" applyFont="1" applyBorder="1" applyAlignment="1">
      <alignment horizontal="center"/>
    </xf>
    <xf numFmtId="169" fontId="14" fillId="0" borderId="6" xfId="0" applyNumberFormat="1" applyFont="1" applyBorder="1" applyAlignment="1">
      <alignment horizontal="center"/>
    </xf>
    <xf numFmtId="169" fontId="14" fillId="0" borderId="15" xfId="0" applyNumberFormat="1" applyFont="1" applyBorder="1" applyAlignment="1">
      <alignment horizontal="center"/>
    </xf>
    <xf numFmtId="169" fontId="6" fillId="0" borderId="2" xfId="0" applyNumberFormat="1" applyFont="1" applyBorder="1" applyAlignment="1">
      <alignment horizontal="center"/>
    </xf>
    <xf numFmtId="169" fontId="7" fillId="0" borderId="9" xfId="0" applyNumberFormat="1" applyFont="1" applyBorder="1" applyAlignment="1">
      <alignment horizontal="center"/>
    </xf>
    <xf numFmtId="9" fontId="6" fillId="0" borderId="15" xfId="4" applyFont="1" applyFill="1" applyBorder="1" applyAlignment="1" applyProtection="1">
      <alignment horizontal="center"/>
    </xf>
    <xf numFmtId="167" fontId="6" fillId="5" borderId="19" xfId="0" applyNumberFormat="1" applyFont="1" applyFill="1" applyBorder="1"/>
    <xf numFmtId="167" fontId="6" fillId="5" borderId="5" xfId="0" applyNumberFormat="1" applyFont="1" applyFill="1" applyBorder="1"/>
    <xf numFmtId="167" fontId="6" fillId="6" borderId="5" xfId="0" applyNumberFormat="1" applyFont="1" applyFill="1" applyBorder="1"/>
    <xf numFmtId="167" fontId="6" fillId="7" borderId="5" xfId="0" applyNumberFormat="1" applyFont="1" applyFill="1" applyBorder="1"/>
    <xf numFmtId="167" fontId="6" fillId="5" borderId="13" xfId="0" applyNumberFormat="1" applyFont="1" applyFill="1" applyBorder="1"/>
    <xf numFmtId="167" fontId="6" fillId="5" borderId="6" xfId="0" applyNumberFormat="1" applyFont="1" applyFill="1" applyBorder="1"/>
    <xf numFmtId="167" fontId="6" fillId="6" borderId="6" xfId="0" applyNumberFormat="1" applyFont="1" applyFill="1" applyBorder="1"/>
    <xf numFmtId="167" fontId="6" fillId="7" borderId="6" xfId="0" applyNumberFormat="1" applyFont="1" applyFill="1" applyBorder="1"/>
    <xf numFmtId="3" fontId="6" fillId="5" borderId="13" xfId="0" applyNumberFormat="1" applyFont="1" applyFill="1" applyBorder="1"/>
    <xf numFmtId="3" fontId="6" fillId="5" borderId="6" xfId="0" applyNumberFormat="1" applyFont="1" applyFill="1" applyBorder="1"/>
    <xf numFmtId="3" fontId="6" fillId="6" borderId="6" xfId="0" applyNumberFormat="1" applyFont="1" applyFill="1" applyBorder="1"/>
    <xf numFmtId="3" fontId="6" fillId="7" borderId="6" xfId="0" applyNumberFormat="1" applyFont="1" applyFill="1" applyBorder="1"/>
    <xf numFmtId="167" fontId="6" fillId="5" borderId="13" xfId="4" applyNumberFormat="1" applyFont="1" applyFill="1" applyBorder="1" applyAlignment="1" applyProtection="1"/>
    <xf numFmtId="167" fontId="6" fillId="5" borderId="6" xfId="4" applyNumberFormat="1" applyFont="1" applyFill="1" applyBorder="1" applyAlignment="1" applyProtection="1"/>
    <xf numFmtId="167" fontId="6" fillId="6" borderId="6" xfId="4" applyNumberFormat="1" applyFont="1" applyFill="1" applyBorder="1" applyAlignment="1" applyProtection="1"/>
    <xf numFmtId="167" fontId="6" fillId="7" borderId="6" xfId="4" applyNumberFormat="1" applyFont="1" applyFill="1" applyBorder="1" applyAlignment="1" applyProtection="1"/>
    <xf numFmtId="9" fontId="6" fillId="5" borderId="13" xfId="4" applyFont="1" applyFill="1" applyBorder="1" applyAlignment="1" applyProtection="1"/>
    <xf numFmtId="9" fontId="6" fillId="5" borderId="6" xfId="4" applyFont="1" applyFill="1" applyBorder="1" applyAlignment="1" applyProtection="1"/>
    <xf numFmtId="9" fontId="6" fillId="6" borderId="6" xfId="4" applyFont="1" applyFill="1" applyBorder="1" applyAlignment="1" applyProtection="1"/>
    <xf numFmtId="9" fontId="6" fillId="7" borderId="6" xfId="4" applyFont="1" applyFill="1" applyBorder="1" applyAlignment="1" applyProtection="1"/>
    <xf numFmtId="9" fontId="6" fillId="5" borderId="13" xfId="4" applyNumberFormat="1" applyFont="1" applyFill="1" applyBorder="1" applyAlignment="1" applyProtection="1"/>
    <xf numFmtId="9" fontId="6" fillId="5" borderId="6" xfId="4" applyNumberFormat="1" applyFont="1" applyFill="1" applyBorder="1" applyAlignment="1" applyProtection="1"/>
    <xf numFmtId="9" fontId="6" fillId="6" borderId="6" xfId="4" applyNumberFormat="1" applyFont="1" applyFill="1" applyBorder="1" applyAlignment="1" applyProtection="1"/>
    <xf numFmtId="9" fontId="6" fillId="7" borderId="6" xfId="4" applyNumberFormat="1" applyFont="1" applyFill="1" applyBorder="1" applyAlignment="1" applyProtection="1"/>
    <xf numFmtId="0" fontId="6" fillId="5" borderId="0" xfId="0" applyFont="1" applyFill="1" applyBorder="1"/>
    <xf numFmtId="0" fontId="6" fillId="6" borderId="0" xfId="0" applyFont="1" applyFill="1" applyBorder="1"/>
    <xf numFmtId="0" fontId="6" fillId="5" borderId="0" xfId="0" applyFont="1" applyFill="1"/>
    <xf numFmtId="0" fontId="6" fillId="6" borderId="0" xfId="0" applyFont="1" applyFill="1"/>
    <xf numFmtId="9" fontId="6" fillId="0" borderId="20" xfId="4" applyFont="1" applyFill="1" applyBorder="1" applyAlignment="1" applyProtection="1"/>
    <xf numFmtId="167" fontId="6" fillId="7" borderId="21" xfId="0" applyNumberFormat="1" applyFont="1" applyFill="1" applyBorder="1"/>
    <xf numFmtId="167" fontId="6" fillId="7" borderId="7" xfId="0" applyNumberFormat="1" applyFont="1" applyFill="1" applyBorder="1"/>
    <xf numFmtId="3" fontId="6" fillId="7" borderId="7" xfId="0" applyNumberFormat="1" applyFont="1" applyFill="1" applyBorder="1"/>
    <xf numFmtId="167" fontId="6" fillId="7" borderId="7" xfId="4" applyNumberFormat="1" applyFont="1" applyFill="1" applyBorder="1" applyAlignment="1" applyProtection="1"/>
    <xf numFmtId="9" fontId="6" fillId="7" borderId="7" xfId="4" applyFont="1" applyFill="1" applyBorder="1" applyAlignment="1" applyProtection="1"/>
    <xf numFmtId="9" fontId="6" fillId="7" borderId="7" xfId="4" applyNumberFormat="1" applyFont="1" applyFill="1" applyBorder="1" applyAlignment="1" applyProtection="1"/>
    <xf numFmtId="166" fontId="7" fillId="0" borderId="22" xfId="0" applyNumberFormat="1" applyFont="1" applyFill="1" applyBorder="1" applyAlignment="1">
      <alignment horizontal="center"/>
    </xf>
    <xf numFmtId="167" fontId="6" fillId="0" borderId="23" xfId="0" applyNumberFormat="1" applyFont="1" applyFill="1" applyBorder="1"/>
    <xf numFmtId="167" fontId="6" fillId="0" borderId="20" xfId="0" applyNumberFormat="1" applyFont="1" applyFill="1" applyBorder="1"/>
    <xf numFmtId="3" fontId="6" fillId="0" borderId="20" xfId="0" applyNumberFormat="1" applyFont="1" applyFill="1" applyBorder="1"/>
    <xf numFmtId="164" fontId="6" fillId="0" borderId="20" xfId="0" applyNumberFormat="1" applyFont="1" applyFill="1" applyBorder="1"/>
    <xf numFmtId="167" fontId="6" fillId="0" borderId="20" xfId="4" applyNumberFormat="1" applyFont="1" applyFill="1" applyBorder="1" applyAlignment="1" applyProtection="1"/>
    <xf numFmtId="9" fontId="6" fillId="0" borderId="20" xfId="4" applyNumberFormat="1" applyFont="1" applyFill="1" applyBorder="1" applyAlignment="1" applyProtection="1"/>
    <xf numFmtId="0" fontId="0" fillId="0" borderId="0" xfId="0" applyAlignment="1">
      <alignment horizontal="left"/>
    </xf>
    <xf numFmtId="0" fontId="6" fillId="0" borderId="0" xfId="0" applyFont="1" applyFill="1"/>
    <xf numFmtId="0" fontId="9" fillId="0" borderId="0" xfId="0" applyFont="1" applyBorder="1" applyAlignment="1">
      <alignment wrapText="1"/>
    </xf>
    <xf numFmtId="0" fontId="8" fillId="0" borderId="0" xfId="0" applyFont="1" applyBorder="1" applyAlignment="1">
      <alignment wrapText="1"/>
    </xf>
    <xf numFmtId="0" fontId="10" fillId="0" borderId="0" xfId="0" applyFont="1" applyBorder="1" applyAlignment="1">
      <alignment wrapText="1"/>
    </xf>
    <xf numFmtId="0" fontId="6" fillId="6" borderId="0" xfId="0" applyFont="1" applyFill="1" applyBorder="1" applyAlignment="1">
      <alignment horizontal="left"/>
    </xf>
    <xf numFmtId="0" fontId="0" fillId="0" borderId="0" xfId="0" applyBorder="1" applyAlignment="1">
      <alignment horizontal="left"/>
    </xf>
    <xf numFmtId="10" fontId="6" fillId="0" borderId="0" xfId="0" applyNumberFormat="1" applyFont="1" applyBorder="1"/>
    <xf numFmtId="10" fontId="6" fillId="5" borderId="0" xfId="0" applyNumberFormat="1" applyFont="1" applyFill="1" applyBorder="1"/>
    <xf numFmtId="0" fontId="6" fillId="0" borderId="0" xfId="0" applyFont="1" applyBorder="1" applyAlignment="1">
      <alignment horizontal="left"/>
    </xf>
    <xf numFmtId="0" fontId="6" fillId="5" borderId="0" xfId="0" applyFont="1" applyFill="1" applyBorder="1" applyAlignment="1">
      <alignment horizontal="left"/>
    </xf>
    <xf numFmtId="0" fontId="8" fillId="0" borderId="24" xfId="0" applyFont="1" applyBorder="1" applyAlignment="1">
      <alignment wrapText="1"/>
    </xf>
    <xf numFmtId="167" fontId="0" fillId="0" borderId="0" xfId="0" applyNumberFormat="1"/>
    <xf numFmtId="2" fontId="6" fillId="0" borderId="0" xfId="0" applyNumberFormat="1" applyFont="1" applyFill="1" applyBorder="1"/>
    <xf numFmtId="2" fontId="6" fillId="5" borderId="0" xfId="0" applyNumberFormat="1" applyFont="1" applyFill="1" applyBorder="1"/>
    <xf numFmtId="2" fontId="6" fillId="6" borderId="0" xfId="0" applyNumberFormat="1" applyFont="1" applyFill="1" applyBorder="1"/>
    <xf numFmtId="2" fontId="6" fillId="7" borderId="0" xfId="0" applyNumberFormat="1" applyFont="1" applyFill="1" applyBorder="1"/>
    <xf numFmtId="166" fontId="7" fillId="5" borderId="22" xfId="0" applyNumberFormat="1" applyFont="1" applyFill="1" applyBorder="1" applyAlignment="1">
      <alignment horizontal="center"/>
    </xf>
    <xf numFmtId="167" fontId="6" fillId="7" borderId="23" xfId="0" applyNumberFormat="1" applyFont="1" applyFill="1" applyBorder="1"/>
    <xf numFmtId="167" fontId="6" fillId="7" borderId="20" xfId="0" applyNumberFormat="1" applyFont="1" applyFill="1" applyBorder="1"/>
    <xf numFmtId="3" fontId="6" fillId="7" borderId="20" xfId="0" applyNumberFormat="1" applyFont="1" applyFill="1" applyBorder="1"/>
    <xf numFmtId="164" fontId="6" fillId="7" borderId="20" xfId="0" applyNumberFormat="1" applyFont="1" applyFill="1" applyBorder="1"/>
    <xf numFmtId="9" fontId="6" fillId="7" borderId="20" xfId="4" applyFont="1" applyFill="1" applyBorder="1" applyAlignment="1" applyProtection="1"/>
    <xf numFmtId="167" fontId="6" fillId="7" borderId="20" xfId="4" applyNumberFormat="1" applyFont="1" applyFill="1" applyBorder="1" applyAlignment="1" applyProtection="1"/>
    <xf numFmtId="9" fontId="6" fillId="7" borderId="20" xfId="4" applyNumberFormat="1" applyFont="1" applyFill="1" applyBorder="1" applyAlignment="1" applyProtection="1"/>
    <xf numFmtId="9" fontId="0" fillId="0" borderId="0" xfId="0" applyNumberFormat="1" applyAlignment="1">
      <alignment horizontal="center"/>
    </xf>
    <xf numFmtId="9" fontId="12" fillId="3" borderId="9" xfId="0" applyNumberFormat="1" applyFont="1" applyFill="1" applyBorder="1" applyAlignment="1">
      <alignment horizontal="center"/>
    </xf>
    <xf numFmtId="9" fontId="13" fillId="0" borderId="11" xfId="4" applyNumberFormat="1" applyFont="1" applyFill="1" applyBorder="1" applyAlignment="1" applyProtection="1">
      <alignment horizontal="center"/>
    </xf>
    <xf numFmtId="9" fontId="6" fillId="0" borderId="13" xfId="4" applyNumberFormat="1" applyFont="1" applyFill="1" applyBorder="1" applyAlignment="1" applyProtection="1">
      <alignment horizontal="center"/>
    </xf>
    <xf numFmtId="9" fontId="6" fillId="0" borderId="17" xfId="4" applyNumberFormat="1" applyFont="1" applyFill="1" applyBorder="1" applyAlignment="1" applyProtection="1">
      <alignment horizontal="center"/>
    </xf>
    <xf numFmtId="9" fontId="7" fillId="0" borderId="9" xfId="4" applyNumberFormat="1" applyFont="1" applyFill="1" applyBorder="1" applyAlignment="1" applyProtection="1">
      <alignment horizontal="center"/>
    </xf>
    <xf numFmtId="9" fontId="7" fillId="0" borderId="0" xfId="4" applyNumberFormat="1" applyFont="1" applyFill="1" applyBorder="1" applyAlignment="1" applyProtection="1">
      <alignment horizontal="center"/>
    </xf>
    <xf numFmtId="164" fontId="6" fillId="0" borderId="20" xfId="4" applyNumberFormat="1" applyFont="1" applyFill="1" applyBorder="1" applyAlignment="1" applyProtection="1"/>
    <xf numFmtId="166" fontId="7" fillId="6" borderId="22" xfId="0" applyNumberFormat="1" applyFont="1" applyFill="1" applyBorder="1" applyAlignment="1">
      <alignment horizontal="center"/>
    </xf>
    <xf numFmtId="164" fontId="6" fillId="7" borderId="20" xfId="4" applyNumberFormat="1" applyFont="1" applyFill="1" applyBorder="1" applyAlignment="1" applyProtection="1"/>
    <xf numFmtId="0" fontId="0" fillId="0" borderId="0" xfId="0" applyFont="1"/>
    <xf numFmtId="0" fontId="0" fillId="0" borderId="0" xfId="0" applyFont="1" applyFill="1"/>
    <xf numFmtId="0" fontId="17" fillId="0" borderId="0" xfId="0" applyFont="1" applyBorder="1" applyAlignment="1">
      <alignment wrapText="1"/>
    </xf>
    <xf numFmtId="2" fontId="0" fillId="4" borderId="0" xfId="0" applyNumberFormat="1" applyFont="1" applyFill="1" applyBorder="1"/>
    <xf numFmtId="0" fontId="19" fillId="0" borderId="0" xfId="0" applyFont="1" applyBorder="1" applyAlignment="1">
      <alignment wrapText="1"/>
    </xf>
    <xf numFmtId="0" fontId="18" fillId="0" borderId="25" xfId="0" applyFont="1" applyBorder="1" applyAlignment="1">
      <alignment wrapText="1"/>
    </xf>
    <xf numFmtId="2" fontId="0" fillId="0" borderId="0" xfId="0" applyNumberFormat="1" applyFont="1" applyFill="1" applyBorder="1" applyAlignment="1"/>
    <xf numFmtId="0" fontId="0" fillId="0" borderId="0" xfId="0" applyFont="1" applyBorder="1" applyAlignment="1"/>
    <xf numFmtId="167" fontId="6" fillId="7" borderId="26" xfId="0" applyNumberFormat="1" applyFont="1" applyFill="1" applyBorder="1"/>
    <xf numFmtId="167" fontId="6" fillId="7" borderId="27" xfId="0" applyNumberFormat="1" applyFont="1" applyFill="1" applyBorder="1"/>
    <xf numFmtId="3" fontId="6" fillId="7" borderId="27" xfId="0" applyNumberFormat="1" applyFont="1" applyFill="1" applyBorder="1"/>
    <xf numFmtId="164" fontId="6" fillId="7" borderId="27" xfId="0" applyNumberFormat="1" applyFont="1" applyFill="1" applyBorder="1"/>
    <xf numFmtId="9" fontId="6" fillId="7" borderId="27" xfId="4" applyFont="1" applyFill="1" applyBorder="1" applyAlignment="1" applyProtection="1"/>
    <xf numFmtId="167" fontId="6" fillId="7" borderId="27" xfId="4" applyNumberFormat="1" applyFont="1" applyFill="1" applyBorder="1" applyAlignment="1" applyProtection="1"/>
    <xf numFmtId="9" fontId="6" fillId="7" borderId="27" xfId="4" applyNumberFormat="1" applyFont="1" applyFill="1" applyBorder="1" applyAlignment="1" applyProtection="1"/>
    <xf numFmtId="164" fontId="6" fillId="7" borderId="27" xfId="4" applyNumberFormat="1" applyFont="1" applyFill="1" applyBorder="1" applyAlignment="1" applyProtection="1"/>
    <xf numFmtId="9" fontId="6" fillId="0" borderId="29" xfId="4" applyFont="1" applyFill="1" applyBorder="1" applyAlignment="1" applyProtection="1"/>
    <xf numFmtId="164" fontId="6" fillId="7" borderId="29" xfId="4" applyNumberFormat="1" applyFont="1" applyFill="1" applyBorder="1" applyAlignment="1" applyProtection="1"/>
    <xf numFmtId="167" fontId="6" fillId="0" borderId="30" xfId="0" applyNumberFormat="1" applyFont="1" applyFill="1" applyBorder="1"/>
    <xf numFmtId="167" fontId="6" fillId="0" borderId="31" xfId="0" applyNumberFormat="1" applyFont="1" applyFill="1" applyBorder="1"/>
    <xf numFmtId="3" fontId="6" fillId="0" borderId="31" xfId="0" applyNumberFormat="1" applyFont="1" applyFill="1" applyBorder="1"/>
    <xf numFmtId="164" fontId="6" fillId="0" borderId="31" xfId="0" applyNumberFormat="1" applyFont="1" applyFill="1" applyBorder="1"/>
    <xf numFmtId="9" fontId="6" fillId="0" borderId="31" xfId="4" applyFont="1" applyFill="1" applyBorder="1" applyAlignment="1" applyProtection="1"/>
    <xf numFmtId="167" fontId="6" fillId="0" borderId="31" xfId="4" applyNumberFormat="1" applyFont="1" applyFill="1" applyBorder="1" applyAlignment="1" applyProtection="1"/>
    <xf numFmtId="9" fontId="6" fillId="0" borderId="31" xfId="4" applyNumberFormat="1" applyFont="1" applyFill="1" applyBorder="1" applyAlignment="1" applyProtection="1"/>
    <xf numFmtId="164" fontId="6" fillId="0" borderId="31" xfId="4" applyNumberFormat="1" applyFont="1" applyFill="1" applyBorder="1" applyAlignment="1" applyProtection="1"/>
    <xf numFmtId="167" fontId="6" fillId="7" borderId="28" xfId="0" applyNumberFormat="1" applyFont="1" applyFill="1" applyBorder="1"/>
    <xf numFmtId="167" fontId="6" fillId="7" borderId="29" xfId="0" applyNumberFormat="1" applyFont="1" applyFill="1" applyBorder="1"/>
    <xf numFmtId="3" fontId="6" fillId="7" borderId="29" xfId="0" applyNumberFormat="1" applyFont="1" applyFill="1" applyBorder="1"/>
    <xf numFmtId="164" fontId="6" fillId="7" borderId="29" xfId="0" applyNumberFormat="1" applyFont="1" applyFill="1" applyBorder="1"/>
    <xf numFmtId="9" fontId="6" fillId="7" borderId="29" xfId="4" applyFont="1" applyFill="1" applyBorder="1" applyAlignment="1" applyProtection="1"/>
    <xf numFmtId="167" fontId="6" fillId="7" borderId="29" xfId="4" applyNumberFormat="1" applyFont="1" applyFill="1" applyBorder="1" applyAlignment="1" applyProtection="1"/>
    <xf numFmtId="9" fontId="6" fillId="7" borderId="29" xfId="4" applyNumberFormat="1" applyFont="1" applyFill="1" applyBorder="1" applyAlignment="1" applyProtection="1"/>
    <xf numFmtId="166" fontId="7" fillId="7" borderId="32" xfId="0" applyNumberFormat="1" applyFont="1" applyFill="1" applyBorder="1" applyAlignment="1">
      <alignment horizontal="center"/>
    </xf>
    <xf numFmtId="167" fontId="6" fillId="0" borderId="28" xfId="0" applyNumberFormat="1" applyFont="1" applyFill="1" applyBorder="1"/>
    <xf numFmtId="167" fontId="6" fillId="0" borderId="29" xfId="0" applyNumberFormat="1" applyFont="1" applyFill="1" applyBorder="1"/>
    <xf numFmtId="3" fontId="6" fillId="0" borderId="29" xfId="0" applyNumberFormat="1" applyFont="1" applyFill="1" applyBorder="1"/>
    <xf numFmtId="164" fontId="6" fillId="0" borderId="29" xfId="0" applyNumberFormat="1" applyFont="1" applyFill="1" applyBorder="1"/>
    <xf numFmtId="167" fontId="6" fillId="0" borderId="29" xfId="4" applyNumberFormat="1" applyFont="1" applyFill="1" applyBorder="1" applyAlignment="1" applyProtection="1"/>
    <xf numFmtId="9" fontId="6" fillId="0" borderId="29" xfId="4" applyNumberFormat="1" applyFont="1" applyFill="1" applyBorder="1" applyAlignment="1" applyProtection="1"/>
    <xf numFmtId="164" fontId="6" fillId="0" borderId="29" xfId="4" applyNumberFormat="1" applyFont="1" applyFill="1" applyBorder="1" applyAlignment="1" applyProtection="1"/>
    <xf numFmtId="0" fontId="25" fillId="0" borderId="47" xfId="0" applyFont="1" applyBorder="1" applyAlignment="1">
      <alignment horizontal="left" vertical="center" wrapText="1"/>
    </xf>
    <xf numFmtId="0" fontId="25" fillId="8" borderId="33" xfId="0" applyNumberFormat="1" applyFont="1" applyFill="1" applyBorder="1" applyAlignment="1">
      <alignment horizontal="center" vertical="center"/>
    </xf>
    <xf numFmtId="164" fontId="25" fillId="8" borderId="34" xfId="0" applyNumberFormat="1" applyFont="1" applyFill="1" applyBorder="1" applyAlignment="1">
      <alignment horizontal="center" vertical="center"/>
    </xf>
    <xf numFmtId="10" fontId="25" fillId="8" borderId="35" xfId="0" applyNumberFormat="1" applyFont="1" applyFill="1" applyBorder="1" applyAlignment="1">
      <alignment horizontal="center" vertical="center"/>
    </xf>
    <xf numFmtId="0" fontId="25" fillId="9" borderId="33" xfId="0" applyNumberFormat="1" applyFont="1" applyFill="1" applyBorder="1" applyAlignment="1">
      <alignment horizontal="center" vertical="center"/>
    </xf>
    <xf numFmtId="164" fontId="25" fillId="9" borderId="34" xfId="0" applyNumberFormat="1" applyFont="1" applyFill="1" applyBorder="1" applyAlignment="1">
      <alignment horizontal="center" vertical="center"/>
    </xf>
    <xf numFmtId="10" fontId="25" fillId="9" borderId="35" xfId="0" applyNumberFormat="1" applyFont="1" applyFill="1" applyBorder="1" applyAlignment="1">
      <alignment horizontal="center" vertical="center"/>
    </xf>
    <xf numFmtId="0" fontId="25" fillId="43" borderId="33" xfId="0" applyNumberFormat="1" applyFont="1" applyFill="1" applyBorder="1" applyAlignment="1">
      <alignment horizontal="center" vertical="center"/>
    </xf>
    <xf numFmtId="164" fontId="25" fillId="43" borderId="34" xfId="0" applyNumberFormat="1" applyFont="1" applyFill="1" applyBorder="1" applyAlignment="1">
      <alignment horizontal="center" vertical="center"/>
    </xf>
    <xf numFmtId="0" fontId="25" fillId="8" borderId="36" xfId="0" applyNumberFormat="1" applyFont="1" applyFill="1" applyBorder="1" applyAlignment="1">
      <alignment horizontal="center" vertical="center"/>
    </xf>
    <xf numFmtId="164" fontId="25" fillId="8" borderId="37" xfId="0" applyNumberFormat="1" applyFont="1" applyFill="1" applyBorder="1" applyAlignment="1">
      <alignment horizontal="center" vertical="center"/>
    </xf>
    <xf numFmtId="10" fontId="25" fillId="8" borderId="38" xfId="0" applyNumberFormat="1" applyFont="1" applyFill="1" applyBorder="1" applyAlignment="1">
      <alignment horizontal="center" vertical="center"/>
    </xf>
    <xf numFmtId="0" fontId="25" fillId="9" borderId="36" xfId="0" applyNumberFormat="1" applyFont="1" applyFill="1" applyBorder="1" applyAlignment="1">
      <alignment horizontal="center" vertical="center"/>
    </xf>
    <xf numFmtId="164" fontId="25" fillId="9" borderId="37" xfId="0" applyNumberFormat="1" applyFont="1" applyFill="1" applyBorder="1" applyAlignment="1">
      <alignment horizontal="center" vertical="center"/>
    </xf>
    <xf numFmtId="10" fontId="25" fillId="9" borderId="38" xfId="0" applyNumberFormat="1" applyFont="1" applyFill="1" applyBorder="1" applyAlignment="1">
      <alignment horizontal="center" vertical="center"/>
    </xf>
    <xf numFmtId="0" fontId="25" fillId="43" borderId="36" xfId="0" applyNumberFormat="1" applyFont="1" applyFill="1" applyBorder="1" applyAlignment="1">
      <alignment horizontal="center" vertical="center"/>
    </xf>
    <xf numFmtId="164" fontId="25" fillId="43" borderId="37" xfId="0" applyNumberFormat="1" applyFont="1" applyFill="1" applyBorder="1" applyAlignment="1">
      <alignment horizontal="center" vertical="center"/>
    </xf>
    <xf numFmtId="0" fontId="24" fillId="10" borderId="31" xfId="0" applyNumberFormat="1" applyFont="1" applyFill="1" applyBorder="1" applyAlignment="1">
      <alignment horizontal="center" vertical="center"/>
    </xf>
    <xf numFmtId="164" fontId="24" fillId="10" borderId="31" xfId="0" applyNumberFormat="1" applyFont="1" applyFill="1" applyBorder="1" applyAlignment="1">
      <alignment horizontal="center" vertical="center"/>
    </xf>
    <xf numFmtId="0" fontId="24" fillId="44" borderId="39" xfId="0" applyNumberFormat="1" applyFont="1" applyFill="1" applyBorder="1" applyAlignment="1">
      <alignment horizontal="center" vertical="center"/>
    </xf>
    <xf numFmtId="164" fontId="24" fillId="44" borderId="40" xfId="0" applyNumberFormat="1" applyFont="1" applyFill="1" applyBorder="1" applyAlignment="1">
      <alignment horizontal="center" vertical="center"/>
    </xf>
    <xf numFmtId="10" fontId="24" fillId="44" borderId="41" xfId="0" applyNumberFormat="1" applyFont="1" applyFill="1" applyBorder="1" applyAlignment="1">
      <alignment horizontal="center" vertical="center"/>
    </xf>
    <xf numFmtId="10" fontId="25" fillId="43" borderId="43" xfId="0" applyNumberFormat="1" applyFont="1" applyFill="1" applyBorder="1" applyAlignment="1">
      <alignment horizontal="center" vertical="center"/>
    </xf>
    <xf numFmtId="10" fontId="25" fillId="43" borderId="45" xfId="0" applyNumberFormat="1" applyFont="1" applyFill="1" applyBorder="1" applyAlignment="1">
      <alignment horizontal="center" vertical="center"/>
    </xf>
    <xf numFmtId="0" fontId="24" fillId="10" borderId="30" xfId="0" applyNumberFormat="1" applyFont="1" applyFill="1" applyBorder="1" applyAlignment="1">
      <alignment horizontal="center" vertical="center"/>
    </xf>
    <xf numFmtId="164" fontId="24" fillId="10" borderId="30" xfId="0" applyNumberFormat="1" applyFont="1" applyFill="1" applyBorder="1" applyAlignment="1">
      <alignment horizontal="center" vertical="center"/>
    </xf>
    <xf numFmtId="0" fontId="0" fillId="6" borderId="0" xfId="0" applyFont="1" applyFill="1"/>
    <xf numFmtId="0" fontId="0" fillId="6" borderId="0" xfId="0" applyFill="1" applyBorder="1"/>
    <xf numFmtId="166" fontId="7" fillId="7" borderId="22" xfId="0" applyNumberFormat="1" applyFont="1" applyFill="1" applyBorder="1" applyAlignment="1">
      <alignment horizontal="center"/>
    </xf>
    <xf numFmtId="0" fontId="0" fillId="6" borderId="0" xfId="0" applyFill="1" applyAlignment="1">
      <alignment horizontal="left"/>
    </xf>
    <xf numFmtId="0" fontId="24" fillId="11" borderId="42" xfId="0" applyFont="1" applyFill="1" applyBorder="1" applyAlignment="1">
      <alignment horizontal="center" vertical="center"/>
    </xf>
    <xf numFmtId="0" fontId="24" fillId="11" borderId="43" xfId="0" applyFont="1" applyFill="1" applyBorder="1" applyAlignment="1">
      <alignment horizontal="center" vertical="center"/>
    </xf>
    <xf numFmtId="0" fontId="25" fillId="0" borderId="46" xfId="0" applyFont="1" applyBorder="1" applyAlignment="1">
      <alignment horizontal="center" vertical="center"/>
    </xf>
    <xf numFmtId="0" fontId="12" fillId="3" borderId="30" xfId="0" applyFont="1" applyFill="1" applyBorder="1"/>
    <xf numFmtId="0" fontId="7" fillId="0" borderId="31" xfId="0" applyFont="1" applyBorder="1"/>
    <xf numFmtId="169" fontId="12" fillId="3" borderId="30" xfId="0" applyNumberFormat="1" applyFont="1" applyFill="1" applyBorder="1" applyAlignment="1">
      <alignment horizontal="center"/>
    </xf>
    <xf numFmtId="167" fontId="6" fillId="0" borderId="31" xfId="0" applyNumberFormat="1" applyFont="1" applyBorder="1" applyAlignment="1">
      <alignment horizontal="center"/>
    </xf>
    <xf numFmtId="9" fontId="12" fillId="3" borderId="30" xfId="0" applyNumberFormat="1" applyFont="1" applyFill="1" applyBorder="1" applyAlignment="1">
      <alignment horizontal="center"/>
    </xf>
    <xf numFmtId="9" fontId="6" fillId="0" borderId="31" xfId="4" applyNumberFormat="1" applyFont="1" applyFill="1" applyBorder="1" applyAlignment="1" applyProtection="1">
      <alignment horizontal="center"/>
    </xf>
    <xf numFmtId="0" fontId="12" fillId="3" borderId="30" xfId="0" applyFont="1" applyFill="1" applyBorder="1" applyAlignment="1">
      <alignment horizontal="center"/>
    </xf>
    <xf numFmtId="169" fontId="6" fillId="0" borderId="31" xfId="0" applyNumberFormat="1" applyFont="1" applyBorder="1" applyAlignment="1">
      <alignment horizontal="center"/>
    </xf>
    <xf numFmtId="9" fontId="13" fillId="0" borderId="31" xfId="4" applyFont="1" applyFill="1" applyBorder="1" applyAlignment="1" applyProtection="1">
      <alignment horizontal="center"/>
    </xf>
    <xf numFmtId="169" fontId="14" fillId="0" borderId="31" xfId="0" applyNumberFormat="1" applyFont="1" applyBorder="1" applyAlignment="1">
      <alignment horizontal="center"/>
    </xf>
    <xf numFmtId="0" fontId="7" fillId="0" borderId="67" xfId="0" applyFont="1" applyBorder="1"/>
    <xf numFmtId="167" fontId="6" fillId="0" borderId="67" xfId="0" applyNumberFormat="1" applyFont="1" applyBorder="1" applyAlignment="1">
      <alignment horizontal="center"/>
    </xf>
    <xf numFmtId="9" fontId="6" fillId="0" borderId="67" xfId="4" applyNumberFormat="1" applyFont="1" applyFill="1" applyBorder="1" applyAlignment="1" applyProtection="1">
      <alignment horizontal="center"/>
    </xf>
    <xf numFmtId="9" fontId="13" fillId="0" borderId="67" xfId="4" applyFont="1" applyFill="1" applyBorder="1" applyAlignment="1" applyProtection="1">
      <alignment horizontal="center"/>
    </xf>
    <xf numFmtId="169" fontId="14" fillId="0" borderId="67" xfId="0" applyNumberFormat="1" applyFont="1" applyBorder="1" applyAlignment="1">
      <alignment horizontal="center"/>
    </xf>
    <xf numFmtId="169" fontId="6" fillId="0" borderId="67" xfId="0" applyNumberFormat="1" applyFont="1" applyBorder="1" applyAlignment="1">
      <alignment horizontal="center"/>
    </xf>
    <xf numFmtId="0" fontId="7" fillId="0" borderId="22" xfId="0" applyFont="1" applyBorder="1"/>
    <xf numFmtId="169" fontId="7" fillId="0" borderId="22" xfId="0" applyNumberFormat="1" applyFont="1" applyBorder="1" applyAlignment="1">
      <alignment horizontal="center"/>
    </xf>
    <xf numFmtId="9" fontId="6" fillId="0" borderId="22" xfId="4" applyNumberFormat="1" applyFont="1" applyFill="1" applyBorder="1" applyAlignment="1" applyProtection="1">
      <alignment horizontal="center"/>
    </xf>
    <xf numFmtId="9" fontId="13" fillId="0" borderId="22" xfId="4" applyFont="1" applyFill="1" applyBorder="1" applyAlignment="1" applyProtection="1">
      <alignment horizontal="center"/>
    </xf>
    <xf numFmtId="169" fontId="6" fillId="0" borderId="22" xfId="0" applyNumberFormat="1" applyFont="1" applyBorder="1" applyAlignment="1">
      <alignment horizontal="center"/>
    </xf>
    <xf numFmtId="166" fontId="7" fillId="0" borderId="32" xfId="0" applyNumberFormat="1" applyFont="1" applyFill="1" applyBorder="1" applyAlignment="1">
      <alignment horizontal="center"/>
    </xf>
    <xf numFmtId="0" fontId="0" fillId="0" borderId="0" xfId="0" applyFill="1" applyBorder="1"/>
    <xf numFmtId="0" fontId="0" fillId="0" borderId="0" xfId="0" applyFill="1" applyAlignment="1">
      <alignment horizontal="left"/>
    </xf>
    <xf numFmtId="2" fontId="6" fillId="0" borderId="37" xfId="0" applyNumberFormat="1" applyFont="1" applyFill="1" applyBorder="1"/>
    <xf numFmtId="2" fontId="6" fillId="7" borderId="37" xfId="0" applyNumberFormat="1" applyFont="1" applyFill="1" applyBorder="1"/>
    <xf numFmtId="0" fontId="25" fillId="8" borderId="70" xfId="0" applyNumberFormat="1" applyFont="1" applyFill="1" applyBorder="1" applyAlignment="1">
      <alignment horizontal="center" vertical="center"/>
    </xf>
    <xf numFmtId="164" fontId="25" fillId="8" borderId="71" xfId="0" applyNumberFormat="1" applyFont="1" applyFill="1" applyBorder="1" applyAlignment="1">
      <alignment horizontal="center" vertical="center"/>
    </xf>
    <xf numFmtId="10" fontId="25" fillId="8" borderId="72" xfId="0" applyNumberFormat="1" applyFont="1" applyFill="1" applyBorder="1" applyAlignment="1">
      <alignment horizontal="center" vertical="center"/>
    </xf>
    <xf numFmtId="0" fontId="25" fillId="9" borderId="70" xfId="0" applyNumberFormat="1" applyFont="1" applyFill="1" applyBorder="1" applyAlignment="1">
      <alignment horizontal="center" vertical="center"/>
    </xf>
    <xf numFmtId="164" fontId="25" fillId="9" borderId="71" xfId="0" applyNumberFormat="1" applyFont="1" applyFill="1" applyBorder="1" applyAlignment="1">
      <alignment horizontal="center" vertical="center"/>
    </xf>
    <xf numFmtId="10" fontId="25" fillId="9" borderId="72" xfId="0" applyNumberFormat="1" applyFont="1" applyFill="1" applyBorder="1" applyAlignment="1">
      <alignment horizontal="center" vertical="center"/>
    </xf>
    <xf numFmtId="0" fontId="25" fillId="43" borderId="70" xfId="0" applyNumberFormat="1" applyFont="1" applyFill="1" applyBorder="1" applyAlignment="1">
      <alignment horizontal="center" vertical="center"/>
    </xf>
    <xf numFmtId="164" fontId="25" fillId="43" borderId="71" xfId="0" applyNumberFormat="1" applyFont="1" applyFill="1" applyBorder="1" applyAlignment="1">
      <alignment horizontal="center" vertical="center"/>
    </xf>
    <xf numFmtId="10" fontId="25" fillId="43" borderId="73" xfId="0" applyNumberFormat="1" applyFont="1" applyFill="1" applyBorder="1" applyAlignment="1">
      <alignment horizontal="center" vertical="center"/>
    </xf>
    <xf numFmtId="0" fontId="24" fillId="44" borderId="22" xfId="0" applyNumberFormat="1" applyFont="1" applyFill="1" applyBorder="1" applyAlignment="1">
      <alignment horizontal="center" vertical="center"/>
    </xf>
    <xf numFmtId="164" fontId="24" fillId="44" borderId="22" xfId="0" applyNumberFormat="1" applyFont="1" applyFill="1" applyBorder="1" applyAlignment="1">
      <alignment horizontal="center" vertical="center"/>
    </xf>
    <xf numFmtId="2" fontId="6" fillId="6" borderId="37" xfId="0" applyNumberFormat="1" applyFont="1" applyFill="1" applyBorder="1"/>
    <xf numFmtId="0" fontId="25" fillId="45" borderId="33" xfId="0" applyNumberFormat="1" applyFont="1" applyFill="1" applyBorder="1" applyAlignment="1">
      <alignment horizontal="center" vertical="center"/>
    </xf>
    <xf numFmtId="164" fontId="25" fillId="45" borderId="34" xfId="0" applyNumberFormat="1" applyFont="1" applyFill="1" applyBorder="1" applyAlignment="1">
      <alignment horizontal="center" vertical="center"/>
    </xf>
    <xf numFmtId="10" fontId="25" fillId="45" borderId="35" xfId="0" applyNumberFormat="1" applyFont="1" applyFill="1" applyBorder="1" applyAlignment="1">
      <alignment horizontal="center" vertical="center"/>
    </xf>
    <xf numFmtId="0" fontId="25" fillId="45" borderId="36" xfId="0" applyNumberFormat="1" applyFont="1" applyFill="1" applyBorder="1" applyAlignment="1">
      <alignment horizontal="center" vertical="center"/>
    </xf>
    <xf numFmtId="164" fontId="25" fillId="45" borderId="37" xfId="0" applyNumberFormat="1" applyFont="1" applyFill="1" applyBorder="1" applyAlignment="1">
      <alignment horizontal="center" vertical="center"/>
    </xf>
    <xf numFmtId="10" fontId="25" fillId="45" borderId="38" xfId="0" applyNumberFormat="1" applyFont="1" applyFill="1" applyBorder="1" applyAlignment="1">
      <alignment horizontal="center" vertical="center"/>
    </xf>
    <xf numFmtId="0" fontId="25" fillId="45" borderId="70" xfId="0" applyNumberFormat="1" applyFont="1" applyFill="1" applyBorder="1" applyAlignment="1">
      <alignment horizontal="center" vertical="center"/>
    </xf>
    <xf numFmtId="164" fontId="25" fillId="45" borderId="71" xfId="0" applyNumberFormat="1" applyFont="1" applyFill="1" applyBorder="1" applyAlignment="1">
      <alignment horizontal="center" vertical="center"/>
    </xf>
    <xf numFmtId="10" fontId="25" fillId="45" borderId="72" xfId="0" applyNumberFormat="1" applyFont="1" applyFill="1" applyBorder="1" applyAlignment="1">
      <alignment horizontal="center" vertical="center"/>
    </xf>
    <xf numFmtId="0" fontId="25" fillId="46" borderId="33" xfId="0" applyNumberFormat="1" applyFont="1" applyFill="1" applyBorder="1" applyAlignment="1">
      <alignment horizontal="center" vertical="center"/>
    </xf>
    <xf numFmtId="164" fontId="25" fillId="46" borderId="34" xfId="0" applyNumberFormat="1" applyFont="1" applyFill="1" applyBorder="1" applyAlignment="1">
      <alignment horizontal="center" vertical="center"/>
    </xf>
    <xf numFmtId="10" fontId="25" fillId="46" borderId="35" xfId="0" applyNumberFormat="1" applyFont="1" applyFill="1" applyBorder="1" applyAlignment="1">
      <alignment horizontal="center" vertical="center"/>
    </xf>
    <xf numFmtId="0" fontId="25" fillId="46" borderId="36" xfId="0" applyNumberFormat="1" applyFont="1" applyFill="1" applyBorder="1" applyAlignment="1">
      <alignment horizontal="center" vertical="center"/>
    </xf>
    <xf numFmtId="164" fontId="25" fillId="46" borderId="37" xfId="0" applyNumberFormat="1" applyFont="1" applyFill="1" applyBorder="1" applyAlignment="1">
      <alignment horizontal="center" vertical="center"/>
    </xf>
    <xf numFmtId="10" fontId="25" fillId="46" borderId="38" xfId="0" applyNumberFormat="1" applyFont="1" applyFill="1" applyBorder="1" applyAlignment="1">
      <alignment horizontal="center" vertical="center"/>
    </xf>
    <xf numFmtId="0" fontId="25" fillId="46" borderId="70" xfId="0" applyNumberFormat="1" applyFont="1" applyFill="1" applyBorder="1" applyAlignment="1">
      <alignment horizontal="center" vertical="center"/>
    </xf>
    <xf numFmtId="164" fontId="25" fillId="46" borderId="71" xfId="0" applyNumberFormat="1" applyFont="1" applyFill="1" applyBorder="1" applyAlignment="1">
      <alignment horizontal="center" vertical="center"/>
    </xf>
    <xf numFmtId="10" fontId="25" fillId="46" borderId="72" xfId="0" applyNumberFormat="1" applyFont="1" applyFill="1" applyBorder="1" applyAlignment="1">
      <alignment horizontal="center" vertical="center"/>
    </xf>
    <xf numFmtId="0" fontId="25" fillId="47" borderId="33" xfId="0" applyNumberFormat="1" applyFont="1" applyFill="1" applyBorder="1" applyAlignment="1">
      <alignment horizontal="center" vertical="center"/>
    </xf>
    <xf numFmtId="164" fontId="25" fillId="47" borderId="34" xfId="0" applyNumberFormat="1" applyFont="1" applyFill="1" applyBorder="1" applyAlignment="1">
      <alignment horizontal="center" vertical="center"/>
    </xf>
    <xf numFmtId="10" fontId="25" fillId="47" borderId="43" xfId="0" applyNumberFormat="1" applyFont="1" applyFill="1" applyBorder="1" applyAlignment="1">
      <alignment horizontal="center" vertical="center"/>
    </xf>
    <xf numFmtId="0" fontId="25" fillId="47" borderId="36" xfId="0" applyNumberFormat="1" applyFont="1" applyFill="1" applyBorder="1" applyAlignment="1">
      <alignment horizontal="center" vertical="center"/>
    </xf>
    <xf numFmtId="164" fontId="25" fillId="47" borderId="37" xfId="0" applyNumberFormat="1" applyFont="1" applyFill="1" applyBorder="1" applyAlignment="1">
      <alignment horizontal="center" vertical="center"/>
    </xf>
    <xf numFmtId="10" fontId="25" fillId="47" borderId="45" xfId="0" applyNumberFormat="1" applyFont="1" applyFill="1" applyBorder="1" applyAlignment="1">
      <alignment horizontal="center" vertical="center"/>
    </xf>
    <xf numFmtId="0" fontId="25" fillId="47" borderId="70" xfId="0" applyNumberFormat="1" applyFont="1" applyFill="1" applyBorder="1" applyAlignment="1">
      <alignment horizontal="center" vertical="center"/>
    </xf>
    <xf numFmtId="164" fontId="25" fillId="47" borderId="71" xfId="0" applyNumberFormat="1" applyFont="1" applyFill="1" applyBorder="1" applyAlignment="1">
      <alignment horizontal="center" vertical="center"/>
    </xf>
    <xf numFmtId="10" fontId="25" fillId="47" borderId="73" xfId="0" applyNumberFormat="1" applyFont="1" applyFill="1" applyBorder="1" applyAlignment="1">
      <alignment horizontal="center" vertical="center"/>
    </xf>
    <xf numFmtId="0" fontId="25" fillId="48" borderId="33" xfId="0" applyNumberFormat="1" applyFont="1" applyFill="1" applyBorder="1" applyAlignment="1">
      <alignment horizontal="center" vertical="center"/>
    </xf>
    <xf numFmtId="164" fontId="25" fillId="48" borderId="34" xfId="0" applyNumberFormat="1" applyFont="1" applyFill="1" applyBorder="1" applyAlignment="1">
      <alignment horizontal="center" vertical="center"/>
    </xf>
    <xf numFmtId="0" fontId="25" fillId="48" borderId="36" xfId="0" applyNumberFormat="1" applyFont="1" applyFill="1" applyBorder="1" applyAlignment="1">
      <alignment horizontal="center" vertical="center"/>
    </xf>
    <xf numFmtId="164" fontId="25" fillId="48" borderId="37" xfId="0" applyNumberFormat="1" applyFont="1" applyFill="1" applyBorder="1" applyAlignment="1">
      <alignment horizontal="center" vertical="center"/>
    </xf>
    <xf numFmtId="10" fontId="25" fillId="48" borderId="45" xfId="0" applyNumberFormat="1" applyFont="1" applyFill="1" applyBorder="1" applyAlignment="1">
      <alignment horizontal="center" vertical="center"/>
    </xf>
    <xf numFmtId="0" fontId="25" fillId="48" borderId="70" xfId="0" applyNumberFormat="1" applyFont="1" applyFill="1" applyBorder="1" applyAlignment="1">
      <alignment horizontal="center" vertical="center"/>
    </xf>
    <xf numFmtId="164" fontId="25" fillId="48" borderId="71" xfId="0" applyNumberFormat="1" applyFont="1" applyFill="1" applyBorder="1" applyAlignment="1">
      <alignment horizontal="center" vertical="center"/>
    </xf>
    <xf numFmtId="10" fontId="25" fillId="48" borderId="73" xfId="0" applyNumberFormat="1" applyFont="1" applyFill="1" applyBorder="1" applyAlignment="1">
      <alignment horizontal="center" vertical="center"/>
    </xf>
    <xf numFmtId="0" fontId="0" fillId="0" borderId="0" xfId="0" applyFont="1" applyAlignment="1">
      <alignment horizontal="center" vertical="center"/>
    </xf>
    <xf numFmtId="0" fontId="24" fillId="45" borderId="62" xfId="0" applyFont="1" applyFill="1" applyBorder="1" applyAlignment="1">
      <alignment horizontal="center" vertical="center"/>
    </xf>
    <xf numFmtId="164" fontId="24" fillId="45" borderId="63" xfId="0" applyNumberFormat="1" applyFont="1" applyFill="1" applyBorder="1" applyAlignment="1">
      <alignment horizontal="center" vertical="center"/>
    </xf>
    <xf numFmtId="0" fontId="24" fillId="45" borderId="64" xfId="0" applyFont="1" applyFill="1" applyBorder="1" applyAlignment="1">
      <alignment horizontal="center" vertical="center"/>
    </xf>
    <xf numFmtId="0" fontId="24" fillId="46" borderId="62" xfId="0" applyFont="1" applyFill="1" applyBorder="1" applyAlignment="1">
      <alignment horizontal="center" vertical="center"/>
    </xf>
    <xf numFmtId="164" fontId="24" fillId="46" borderId="63" xfId="0" applyNumberFormat="1" applyFont="1" applyFill="1" applyBorder="1" applyAlignment="1">
      <alignment horizontal="center" vertical="center"/>
    </xf>
    <xf numFmtId="0" fontId="24" fillId="46" borderId="64" xfId="0" applyFont="1" applyFill="1" applyBorder="1" applyAlignment="1">
      <alignment horizontal="center" vertical="center"/>
    </xf>
    <xf numFmtId="0" fontId="24" fillId="8" borderId="62" xfId="0" applyFont="1" applyFill="1" applyBorder="1" applyAlignment="1">
      <alignment horizontal="center" vertical="center"/>
    </xf>
    <xf numFmtId="164" fontId="24" fillId="8" borderId="63" xfId="0" applyNumberFormat="1" applyFont="1" applyFill="1" applyBorder="1" applyAlignment="1">
      <alignment horizontal="center" vertical="center"/>
    </xf>
    <xf numFmtId="0" fontId="24" fillId="8" borderId="64" xfId="0" applyFont="1" applyFill="1" applyBorder="1" applyAlignment="1">
      <alignment horizontal="center" vertical="center"/>
    </xf>
    <xf numFmtId="0" fontId="24" fillId="9" borderId="62" xfId="0" applyFont="1" applyFill="1" applyBorder="1" applyAlignment="1">
      <alignment horizontal="center" vertical="center"/>
    </xf>
    <xf numFmtId="164" fontId="24" fillId="9" borderId="63" xfId="0" applyNumberFormat="1" applyFont="1" applyFill="1" applyBorder="1" applyAlignment="1">
      <alignment horizontal="center" vertical="center"/>
    </xf>
    <xf numFmtId="0" fontId="24" fillId="9" borderId="64" xfId="0" applyFont="1" applyFill="1" applyBorder="1" applyAlignment="1">
      <alignment horizontal="center" vertical="center"/>
    </xf>
    <xf numFmtId="0" fontId="24" fillId="43" borderId="62" xfId="0" applyFont="1" applyFill="1" applyBorder="1" applyAlignment="1">
      <alignment horizontal="center" vertical="center"/>
    </xf>
    <xf numFmtId="164" fontId="24" fillId="43" borderId="63" xfId="0" applyNumberFormat="1" applyFont="1" applyFill="1" applyBorder="1" applyAlignment="1">
      <alignment horizontal="center" vertical="center"/>
    </xf>
    <xf numFmtId="0" fontId="24" fillId="43" borderId="64" xfId="0" applyFont="1" applyFill="1" applyBorder="1" applyAlignment="1">
      <alignment horizontal="center" vertical="center"/>
    </xf>
    <xf numFmtId="0" fontId="24" fillId="47" borderId="62" xfId="0" applyFont="1" applyFill="1" applyBorder="1" applyAlignment="1">
      <alignment horizontal="center" vertical="center"/>
    </xf>
    <xf numFmtId="164" fontId="24" fillId="47" borderId="63" xfId="0" applyNumberFormat="1" applyFont="1" applyFill="1" applyBorder="1" applyAlignment="1">
      <alignment horizontal="center" vertical="center"/>
    </xf>
    <xf numFmtId="0" fontId="24" fillId="47" borderId="64" xfId="0" applyFont="1" applyFill="1" applyBorder="1" applyAlignment="1">
      <alignment horizontal="center" vertical="center"/>
    </xf>
    <xf numFmtId="0" fontId="24" fillId="48" borderId="62" xfId="0" applyFont="1" applyFill="1" applyBorder="1" applyAlignment="1">
      <alignment horizontal="center" vertical="center"/>
    </xf>
    <xf numFmtId="164" fontId="24" fillId="48" borderId="63" xfId="0" applyNumberFormat="1" applyFont="1" applyFill="1" applyBorder="1" applyAlignment="1">
      <alignment horizontal="center" vertical="center"/>
    </xf>
    <xf numFmtId="0" fontId="24" fillId="48" borderId="64" xfId="0" applyFont="1" applyFill="1" applyBorder="1" applyAlignment="1">
      <alignment horizontal="center" vertical="center"/>
    </xf>
    <xf numFmtId="0" fontId="25" fillId="10" borderId="60" xfId="0" applyFont="1" applyFill="1" applyBorder="1" applyAlignment="1">
      <alignment horizontal="center" vertical="center"/>
    </xf>
    <xf numFmtId="0" fontId="25" fillId="10" borderId="61" xfId="0" applyFont="1" applyFill="1" applyBorder="1" applyAlignment="1">
      <alignment horizontal="center" vertical="center"/>
    </xf>
    <xf numFmtId="0" fontId="25" fillId="10" borderId="25" xfId="0" applyFont="1" applyFill="1" applyBorder="1" applyAlignment="1">
      <alignment horizontal="center" vertical="center"/>
    </xf>
    <xf numFmtId="0" fontId="24" fillId="44" borderId="49" xfId="0" applyFont="1" applyFill="1" applyBorder="1" applyAlignment="1">
      <alignment horizontal="center" vertical="center"/>
    </xf>
    <xf numFmtId="169" fontId="0" fillId="0" borderId="68" xfId="0" applyNumberFormat="1" applyBorder="1" applyAlignment="1">
      <alignment horizontal="center"/>
    </xf>
    <xf numFmtId="9" fontId="0" fillId="0" borderId="68" xfId="0" applyNumberFormat="1" applyBorder="1" applyAlignment="1">
      <alignment horizontal="center"/>
    </xf>
    <xf numFmtId="0" fontId="0" fillId="0" borderId="68" xfId="0" applyBorder="1" applyAlignment="1">
      <alignment horizontal="center"/>
    </xf>
    <xf numFmtId="0" fontId="0" fillId="0" borderId="76" xfId="0" applyBorder="1" applyAlignment="1">
      <alignment horizontal="center"/>
    </xf>
    <xf numFmtId="0" fontId="25" fillId="0" borderId="0" xfId="0" applyFont="1" applyBorder="1" applyAlignment="1">
      <alignment horizontal="center" vertical="center"/>
    </xf>
    <xf numFmtId="0" fontId="25" fillId="0" borderId="0" xfId="0" applyFont="1" applyBorder="1" applyAlignment="1">
      <alignment horizontal="left" vertical="center" wrapText="1"/>
    </xf>
    <xf numFmtId="168" fontId="6" fillId="0" borderId="18" xfId="0" applyNumberFormat="1" applyFont="1" applyFill="1" applyBorder="1"/>
    <xf numFmtId="168" fontId="6" fillId="0" borderId="15" xfId="0" applyNumberFormat="1" applyFont="1" applyFill="1" applyBorder="1"/>
    <xf numFmtId="2" fontId="6" fillId="0" borderId="15" xfId="0" applyNumberFormat="1" applyFont="1" applyFill="1" applyBorder="1"/>
    <xf numFmtId="2" fontId="6" fillId="5" borderId="17" xfId="0" applyNumberFormat="1" applyFont="1" applyFill="1" applyBorder="1"/>
    <xf numFmtId="2" fontId="6" fillId="5" borderId="15" xfId="0" applyNumberFormat="1" applyFont="1" applyFill="1" applyBorder="1"/>
    <xf numFmtId="2" fontId="6" fillId="6" borderId="15" xfId="0" applyNumberFormat="1" applyFont="1" applyFill="1" applyBorder="1"/>
    <xf numFmtId="2" fontId="6" fillId="7" borderId="15" xfId="0" applyNumberFormat="1" applyFont="1" applyFill="1" applyBorder="1"/>
    <xf numFmtId="2" fontId="6" fillId="7" borderId="18" xfId="0" applyNumberFormat="1" applyFont="1" applyFill="1" applyBorder="1"/>
    <xf numFmtId="2" fontId="6" fillId="0" borderId="77" xfId="0" applyNumberFormat="1" applyFont="1" applyFill="1" applyBorder="1"/>
    <xf numFmtId="2" fontId="6" fillId="7" borderId="77" xfId="0" applyNumberFormat="1" applyFont="1" applyFill="1" applyBorder="1"/>
    <xf numFmtId="2" fontId="6" fillId="7" borderId="78" xfId="0" applyNumberFormat="1" applyFont="1" applyFill="1" applyBorder="1"/>
    <xf numFmtId="2" fontId="6" fillId="0" borderId="67" xfId="0" applyNumberFormat="1" applyFont="1" applyFill="1" applyBorder="1"/>
    <xf numFmtId="2" fontId="6" fillId="7" borderId="75" xfId="0" applyNumberFormat="1" applyFont="1" applyFill="1" applyBorder="1"/>
    <xf numFmtId="2" fontId="6" fillId="0" borderId="75" xfId="0" applyNumberFormat="1" applyFont="1" applyFill="1" applyBorder="1"/>
    <xf numFmtId="2" fontId="6" fillId="5" borderId="37" xfId="0" applyNumberFormat="1" applyFont="1" applyFill="1" applyBorder="1"/>
    <xf numFmtId="2" fontId="6" fillId="4" borderId="37" xfId="0" applyNumberFormat="1" applyFont="1" applyFill="1" applyBorder="1"/>
    <xf numFmtId="0" fontId="24" fillId="11" borderId="66" xfId="0" applyFont="1" applyFill="1" applyBorder="1" applyAlignment="1">
      <alignment horizontal="center" vertical="center"/>
    </xf>
    <xf numFmtId="0" fontId="25" fillId="0" borderId="79" xfId="0" applyFont="1" applyBorder="1" applyAlignment="1">
      <alignment horizontal="center" vertical="center"/>
    </xf>
    <xf numFmtId="4" fontId="0" fillId="0" borderId="0" xfId="0" applyNumberFormat="1"/>
    <xf numFmtId="164" fontId="0" fillId="0" borderId="0" xfId="0" applyNumberFormat="1"/>
    <xf numFmtId="0" fontId="42" fillId="0" borderId="37" xfId="0" applyFont="1" applyBorder="1" applyAlignment="1">
      <alignment horizontal="center" vertical="center"/>
    </xf>
    <xf numFmtId="164" fontId="42" fillId="0" borderId="37" xfId="0" applyNumberFormat="1" applyFont="1" applyBorder="1" applyAlignment="1">
      <alignment horizontal="center" vertical="center"/>
    </xf>
    <xf numFmtId="164" fontId="42" fillId="49" borderId="37" xfId="0" applyNumberFormat="1" applyFont="1" applyFill="1" applyBorder="1" applyAlignment="1">
      <alignment horizontal="center" vertical="center"/>
    </xf>
    <xf numFmtId="10" fontId="42" fillId="49" borderId="37" xfId="0" applyNumberFormat="1" applyFont="1" applyFill="1" applyBorder="1" applyAlignment="1">
      <alignment horizontal="center" vertical="center"/>
    </xf>
    <xf numFmtId="2" fontId="0" fillId="0" borderId="0" xfId="0" applyNumberFormat="1"/>
    <xf numFmtId="10" fontId="0" fillId="0" borderId="0" xfId="0" applyNumberFormat="1"/>
    <xf numFmtId="10" fontId="0" fillId="0" borderId="0" xfId="0" applyNumberFormat="1" applyFont="1" applyAlignment="1">
      <alignment horizontal="center" vertical="center"/>
    </xf>
    <xf numFmtId="2" fontId="0" fillId="0" borderId="0" xfId="0" applyNumberFormat="1" applyFont="1" applyAlignment="1">
      <alignment horizontal="center" vertical="center"/>
    </xf>
    <xf numFmtId="0" fontId="0" fillId="0" borderId="0" xfId="0" applyNumberFormat="1" applyFont="1" applyAlignment="1">
      <alignment horizontal="center" vertical="center"/>
    </xf>
    <xf numFmtId="2" fontId="42" fillId="8" borderId="37" xfId="0" applyNumberFormat="1" applyFont="1" applyFill="1" applyBorder="1" applyAlignment="1">
      <alignment horizontal="center" vertical="center"/>
    </xf>
    <xf numFmtId="0" fontId="42" fillId="6" borderId="37" xfId="0" applyFont="1" applyFill="1" applyBorder="1" applyAlignment="1">
      <alignment horizontal="center" vertical="center"/>
    </xf>
    <xf numFmtId="164" fontId="0" fillId="0" borderId="0" xfId="0" applyNumberFormat="1" applyFont="1" applyAlignment="1">
      <alignment horizontal="center" vertical="center"/>
    </xf>
    <xf numFmtId="38" fontId="42" fillId="0" borderId="37" xfId="0" applyNumberFormat="1" applyFont="1" applyBorder="1" applyAlignment="1">
      <alignment horizontal="center" vertical="center"/>
    </xf>
    <xf numFmtId="1" fontId="42" fillId="0" borderId="37" xfId="0" applyNumberFormat="1" applyFont="1" applyBorder="1" applyAlignment="1">
      <alignment horizontal="center" vertical="center"/>
    </xf>
    <xf numFmtId="1" fontId="0" fillId="0" borderId="0" xfId="0" applyNumberFormat="1"/>
    <xf numFmtId="0" fontId="0" fillId="0" borderId="0" xfId="0" applyFont="1" applyAlignment="1">
      <alignment horizontal="center" vertical="center" wrapText="1"/>
    </xf>
    <xf numFmtId="9" fontId="6" fillId="0" borderId="18" xfId="4" applyFont="1" applyFill="1" applyBorder="1" applyAlignment="1" applyProtection="1"/>
    <xf numFmtId="9" fontId="6" fillId="0" borderId="15" xfId="4" applyFont="1" applyFill="1" applyBorder="1" applyAlignment="1" applyProtection="1"/>
    <xf numFmtId="9" fontId="6" fillId="5" borderId="17" xfId="4" applyFont="1" applyFill="1" applyBorder="1" applyAlignment="1" applyProtection="1"/>
    <xf numFmtId="9" fontId="6" fillId="5" borderId="15" xfId="4" applyFont="1" applyFill="1" applyBorder="1" applyAlignment="1" applyProtection="1"/>
    <xf numFmtId="9" fontId="6" fillId="6" borderId="15" xfId="4" applyFont="1" applyFill="1" applyBorder="1" applyAlignment="1" applyProtection="1"/>
    <xf numFmtId="9" fontId="6" fillId="7" borderId="15" xfId="4" applyFont="1" applyFill="1" applyBorder="1" applyAlignment="1" applyProtection="1"/>
    <xf numFmtId="9" fontId="6" fillId="7" borderId="18" xfId="4" applyFont="1" applyFill="1" applyBorder="1" applyAlignment="1" applyProtection="1"/>
    <xf numFmtId="9" fontId="6" fillId="0" borderId="77" xfId="4" applyFont="1" applyFill="1" applyBorder="1" applyAlignment="1" applyProtection="1"/>
    <xf numFmtId="9" fontId="6" fillId="7" borderId="77" xfId="4" applyFont="1" applyFill="1" applyBorder="1" applyAlignment="1" applyProtection="1"/>
    <xf numFmtId="164" fontId="6" fillId="0" borderId="77" xfId="4" applyNumberFormat="1" applyFont="1" applyFill="1" applyBorder="1" applyAlignment="1" applyProtection="1"/>
    <xf numFmtId="164" fontId="6" fillId="7" borderId="77" xfId="4" applyNumberFormat="1" applyFont="1" applyFill="1" applyBorder="1" applyAlignment="1" applyProtection="1"/>
    <xf numFmtId="164" fontId="6" fillId="7" borderId="78" xfId="4" applyNumberFormat="1" applyFont="1" applyFill="1" applyBorder="1" applyAlignment="1" applyProtection="1"/>
    <xf numFmtId="164" fontId="6" fillId="0" borderId="67" xfId="4" applyNumberFormat="1" applyFont="1" applyFill="1" applyBorder="1" applyAlignment="1" applyProtection="1"/>
    <xf numFmtId="164" fontId="6" fillId="7" borderId="75" xfId="4" applyNumberFormat="1" applyFont="1" applyFill="1" applyBorder="1" applyAlignment="1" applyProtection="1"/>
    <xf numFmtId="164" fontId="6" fillId="0" borderId="75" xfId="4" applyNumberFormat="1" applyFont="1" applyFill="1" applyBorder="1" applyAlignment="1" applyProtection="1"/>
    <xf numFmtId="167" fontId="6" fillId="0" borderId="11" xfId="0" applyNumberFormat="1" applyFont="1" applyFill="1" applyBorder="1"/>
    <xf numFmtId="3" fontId="6" fillId="0" borderId="11" xfId="0" applyNumberFormat="1" applyFont="1" applyFill="1" applyBorder="1"/>
    <xf numFmtId="167" fontId="6" fillId="0" borderId="13" xfId="0" applyNumberFormat="1" applyFont="1" applyFill="1" applyBorder="1"/>
    <xf numFmtId="9" fontId="6" fillId="0" borderId="13" xfId="4" applyFont="1" applyFill="1" applyBorder="1" applyAlignment="1" applyProtection="1"/>
    <xf numFmtId="167" fontId="6" fillId="0" borderId="11" xfId="4" applyNumberFormat="1" applyFont="1" applyFill="1" applyBorder="1" applyAlignment="1" applyProtection="1"/>
    <xf numFmtId="9" fontId="6" fillId="0" borderId="13" xfId="4" applyNumberFormat="1" applyFont="1" applyFill="1" applyBorder="1" applyAlignment="1" applyProtection="1"/>
    <xf numFmtId="9" fontId="6" fillId="0" borderId="17" xfId="4" applyFont="1" applyFill="1" applyBorder="1" applyAlignment="1" applyProtection="1"/>
    <xf numFmtId="168" fontId="6" fillId="0" borderId="17" xfId="0" applyNumberFormat="1" applyFont="1" applyFill="1" applyBorder="1"/>
    <xf numFmtId="2" fontId="6" fillId="0" borderId="44" xfId="0" applyNumberFormat="1" applyFont="1" applyFill="1" applyBorder="1"/>
    <xf numFmtId="2" fontId="6" fillId="4" borderId="44" xfId="0" applyNumberFormat="1" applyFont="1" applyFill="1" applyBorder="1"/>
    <xf numFmtId="2" fontId="6" fillId="7" borderId="44" xfId="0" applyNumberFormat="1" applyFont="1" applyFill="1" applyBorder="1"/>
    <xf numFmtId="167" fontId="6" fillId="6" borderId="28" xfId="0" applyNumberFormat="1" applyFont="1" applyFill="1" applyBorder="1"/>
    <xf numFmtId="167" fontId="6" fillId="6" borderId="29" xfId="0" applyNumberFormat="1" applyFont="1" applyFill="1" applyBorder="1"/>
    <xf numFmtId="3" fontId="6" fillId="6" borderId="29" xfId="0" applyNumberFormat="1" applyFont="1" applyFill="1" applyBorder="1"/>
    <xf numFmtId="164" fontId="6" fillId="6" borderId="29" xfId="0" applyNumberFormat="1" applyFont="1" applyFill="1" applyBorder="1"/>
    <xf numFmtId="9" fontId="6" fillId="6" borderId="29" xfId="4" applyFont="1" applyFill="1" applyBorder="1" applyAlignment="1" applyProtection="1"/>
    <xf numFmtId="167" fontId="6" fillId="6" borderId="29" xfId="4" applyNumberFormat="1" applyFont="1" applyFill="1" applyBorder="1" applyAlignment="1" applyProtection="1"/>
    <xf numFmtId="9" fontId="6" fillId="6" borderId="29" xfId="4" applyNumberFormat="1" applyFont="1" applyFill="1" applyBorder="1" applyAlignment="1" applyProtection="1"/>
    <xf numFmtId="164" fontId="6" fillId="6" borderId="29" xfId="4" applyNumberFormat="1" applyFont="1" applyFill="1" applyBorder="1" applyAlignment="1" applyProtection="1"/>
    <xf numFmtId="164" fontId="6" fillId="6" borderId="75" xfId="4" applyNumberFormat="1" applyFont="1" applyFill="1" applyBorder="1" applyAlignment="1" applyProtection="1"/>
    <xf numFmtId="2" fontId="6" fillId="6" borderId="75" xfId="0" applyNumberFormat="1" applyFont="1" applyFill="1" applyBorder="1"/>
    <xf numFmtId="2" fontId="6" fillId="6" borderId="44" xfId="0" applyNumberFormat="1" applyFont="1" applyFill="1" applyBorder="1"/>
    <xf numFmtId="166" fontId="7" fillId="0" borderId="74" xfId="0" applyNumberFormat="1" applyFont="1" applyFill="1" applyBorder="1" applyAlignment="1">
      <alignment horizontal="center"/>
    </xf>
    <xf numFmtId="166" fontId="7" fillId="7" borderId="81" xfId="0" applyNumberFormat="1" applyFont="1" applyFill="1" applyBorder="1" applyAlignment="1">
      <alignment horizontal="center"/>
    </xf>
    <xf numFmtId="166" fontId="7" fillId="0" borderId="81" xfId="0" applyNumberFormat="1" applyFont="1" applyFill="1" applyBorder="1" applyAlignment="1">
      <alignment horizontal="center"/>
    </xf>
    <xf numFmtId="166" fontId="7" fillId="0" borderId="80" xfId="0" applyNumberFormat="1" applyFont="1" applyFill="1" applyBorder="1" applyAlignment="1">
      <alignment horizontal="center"/>
    </xf>
    <xf numFmtId="0" fontId="7" fillId="0" borderId="23" xfId="0" applyFont="1" applyBorder="1"/>
    <xf numFmtId="0" fontId="7" fillId="0" borderId="82" xfId="0" applyFont="1" applyBorder="1"/>
    <xf numFmtId="0" fontId="7" fillId="0" borderId="20" xfId="0" applyFont="1" applyBorder="1"/>
    <xf numFmtId="0" fontId="7" fillId="0" borderId="20" xfId="0" applyFont="1" applyFill="1" applyBorder="1"/>
    <xf numFmtId="0" fontId="7" fillId="0" borderId="77" xfId="0" applyFont="1" applyBorder="1"/>
    <xf numFmtId="0" fontId="7" fillId="0" borderId="83" xfId="0" applyFont="1" applyBorder="1"/>
    <xf numFmtId="2" fontId="6" fillId="0" borderId="31" xfId="0" applyNumberFormat="1" applyFont="1" applyFill="1" applyBorder="1"/>
    <xf numFmtId="2" fontId="6" fillId="4" borderId="31" xfId="0" applyNumberFormat="1" applyFont="1" applyFill="1" applyBorder="1"/>
    <xf numFmtId="10" fontId="6" fillId="0" borderId="83" xfId="0" applyNumberFormat="1" applyFont="1" applyBorder="1"/>
    <xf numFmtId="167" fontId="6" fillId="7" borderId="30" xfId="0" applyNumberFormat="1" applyFont="1" applyFill="1" applyBorder="1"/>
    <xf numFmtId="167" fontId="6" fillId="7" borderId="31" xfId="0" applyNumberFormat="1" applyFont="1" applyFill="1" applyBorder="1"/>
    <xf numFmtId="3" fontId="6" fillId="7" borderId="31" xfId="0" applyNumberFormat="1" applyFont="1" applyFill="1" applyBorder="1"/>
    <xf numFmtId="164" fontId="6" fillId="7" borderId="31" xfId="0" applyNumberFormat="1" applyFont="1" applyFill="1" applyBorder="1"/>
    <xf numFmtId="9" fontId="6" fillId="7" borderId="31" xfId="4" applyFont="1" applyFill="1" applyBorder="1" applyAlignment="1" applyProtection="1"/>
    <xf numFmtId="167" fontId="6" fillId="7" borderId="31" xfId="4" applyNumberFormat="1" applyFont="1" applyFill="1" applyBorder="1" applyAlignment="1" applyProtection="1"/>
    <xf numFmtId="9" fontId="6" fillId="7" borderId="31" xfId="4" applyNumberFormat="1" applyFont="1" applyFill="1" applyBorder="1" applyAlignment="1" applyProtection="1"/>
    <xf numFmtId="164" fontId="6" fillId="7" borderId="31" xfId="4" applyNumberFormat="1" applyFont="1" applyFill="1" applyBorder="1" applyAlignment="1" applyProtection="1"/>
    <xf numFmtId="164" fontId="6" fillId="7" borderId="67" xfId="4" applyNumberFormat="1" applyFont="1" applyFill="1" applyBorder="1" applyAlignment="1" applyProtection="1"/>
    <xf numFmtId="2" fontId="6" fillId="7" borderId="67" xfId="0" applyNumberFormat="1" applyFont="1" applyFill="1" applyBorder="1"/>
    <xf numFmtId="2" fontId="6" fillId="7" borderId="31" xfId="0" applyNumberFormat="1" applyFont="1" applyFill="1" applyBorder="1"/>
    <xf numFmtId="10" fontId="6" fillId="6" borderId="83" xfId="4" applyNumberFormat="1" applyFont="1" applyFill="1" applyBorder="1"/>
    <xf numFmtId="0" fontId="7" fillId="0" borderId="84" xfId="0" applyFont="1" applyBorder="1"/>
    <xf numFmtId="165" fontId="7" fillId="0" borderId="85" xfId="0" applyNumberFormat="1" applyFont="1" applyFill="1" applyBorder="1" applyAlignment="1">
      <alignment horizontal="center"/>
    </xf>
    <xf numFmtId="165" fontId="7" fillId="0" borderId="86" xfId="0" applyNumberFormat="1" applyFont="1" applyFill="1" applyBorder="1" applyAlignment="1">
      <alignment horizontal="center"/>
    </xf>
    <xf numFmtId="166" fontId="7" fillId="5" borderId="85" xfId="0" applyNumberFormat="1" applyFont="1" applyFill="1" applyBorder="1" applyAlignment="1">
      <alignment horizontal="center"/>
    </xf>
    <xf numFmtId="166" fontId="7" fillId="6" borderId="85" xfId="0" applyNumberFormat="1" applyFont="1" applyFill="1" applyBorder="1" applyAlignment="1">
      <alignment horizontal="center"/>
    </xf>
    <xf numFmtId="166" fontId="7" fillId="5" borderId="86" xfId="0" applyNumberFormat="1" applyFont="1" applyFill="1" applyBorder="1" applyAlignment="1">
      <alignment horizontal="center"/>
    </xf>
    <xf numFmtId="166" fontId="7" fillId="5" borderId="87" xfId="0" applyNumberFormat="1" applyFont="1" applyFill="1" applyBorder="1" applyAlignment="1">
      <alignment horizontal="center"/>
    </xf>
    <xf numFmtId="10" fontId="6" fillId="0" borderId="88" xfId="0" applyNumberFormat="1" applyFont="1" applyFill="1" applyBorder="1"/>
    <xf numFmtId="10" fontId="6" fillId="0" borderId="89" xfId="0" applyNumberFormat="1" applyFont="1" applyFill="1" applyBorder="1"/>
    <xf numFmtId="10" fontId="6" fillId="5" borderId="89" xfId="0" applyNumberFormat="1" applyFont="1" applyFill="1" applyBorder="1"/>
    <xf numFmtId="10" fontId="6" fillId="6" borderId="89" xfId="0" applyNumberFormat="1" applyFont="1" applyFill="1" applyBorder="1"/>
    <xf numFmtId="10" fontId="6" fillId="7" borderId="89" xfId="0" applyNumberFormat="1" applyFont="1" applyFill="1" applyBorder="1"/>
    <xf numFmtId="10" fontId="6" fillId="0" borderId="89" xfId="0" applyNumberFormat="1" applyFont="1" applyBorder="1"/>
    <xf numFmtId="10" fontId="6" fillId="0" borderId="88" xfId="0" applyNumberFormat="1" applyFont="1" applyBorder="1"/>
    <xf numFmtId="10" fontId="6" fillId="6" borderId="88" xfId="0" applyNumberFormat="1" applyFont="1" applyFill="1" applyBorder="1"/>
    <xf numFmtId="10" fontId="6" fillId="6" borderId="88" xfId="4" applyNumberFormat="1" applyFont="1" applyFill="1" applyBorder="1"/>
    <xf numFmtId="167" fontId="6" fillId="0" borderId="90" xfId="0" applyNumberFormat="1" applyFont="1" applyFill="1" applyBorder="1"/>
    <xf numFmtId="167" fontId="6" fillId="0" borderId="61" xfId="0" applyNumberFormat="1" applyFont="1" applyFill="1" applyBorder="1"/>
    <xf numFmtId="3" fontId="6" fillId="0" borderId="61" xfId="0" applyNumberFormat="1" applyFont="1" applyFill="1" applyBorder="1"/>
    <xf numFmtId="164" fontId="6" fillId="6" borderId="61" xfId="0" applyNumberFormat="1" applyFont="1" applyFill="1" applyBorder="1"/>
    <xf numFmtId="164" fontId="6" fillId="7" borderId="61" xfId="0" applyNumberFormat="1" applyFont="1" applyFill="1" applyBorder="1"/>
    <xf numFmtId="9" fontId="6" fillId="6" borderId="61" xfId="4" applyFont="1" applyFill="1" applyBorder="1" applyAlignment="1" applyProtection="1"/>
    <xf numFmtId="167" fontId="6" fillId="0" borderId="61" xfId="4" applyNumberFormat="1" applyFont="1" applyFill="1" applyBorder="1" applyAlignment="1" applyProtection="1"/>
    <xf numFmtId="9" fontId="6" fillId="0" borderId="61" xfId="4" applyNumberFormat="1" applyFont="1" applyFill="1" applyBorder="1" applyAlignment="1" applyProtection="1"/>
    <xf numFmtId="164" fontId="6" fillId="0" borderId="61" xfId="4" applyNumberFormat="1" applyFont="1" applyFill="1" applyBorder="1" applyAlignment="1" applyProtection="1"/>
    <xf numFmtId="9" fontId="6" fillId="0" borderId="61" xfId="4" applyFont="1" applyFill="1" applyBorder="1" applyAlignment="1" applyProtection="1"/>
    <xf numFmtId="164" fontId="6" fillId="0" borderId="91" xfId="4" applyNumberFormat="1" applyFont="1" applyFill="1" applyBorder="1" applyAlignment="1" applyProtection="1"/>
    <xf numFmtId="2" fontId="6" fillId="0" borderId="91" xfId="0" applyNumberFormat="1" applyFont="1" applyFill="1" applyBorder="1"/>
    <xf numFmtId="2" fontId="6" fillId="0" borderId="61" xfId="0" applyNumberFormat="1" applyFont="1" applyFill="1" applyBorder="1"/>
    <xf numFmtId="2" fontId="6" fillId="7" borderId="61" xfId="0" applyNumberFormat="1" applyFont="1" applyFill="1" applyBorder="1"/>
    <xf numFmtId="9" fontId="6" fillId="6" borderId="92" xfId="4" applyFont="1" applyFill="1" applyBorder="1"/>
    <xf numFmtId="10" fontId="6" fillId="0" borderId="91" xfId="4" applyNumberFormat="1" applyFont="1" applyFill="1" applyBorder="1" applyAlignment="1" applyProtection="1"/>
    <xf numFmtId="10" fontId="6" fillId="6" borderId="75" xfId="4" applyNumberFormat="1" applyFont="1" applyFill="1" applyBorder="1" applyAlignment="1" applyProtection="1"/>
    <xf numFmtId="9" fontId="0" fillId="0" borderId="0" xfId="0" applyNumberFormat="1"/>
    <xf numFmtId="0" fontId="12" fillId="3" borderId="28" xfId="0" applyFont="1" applyFill="1" applyBorder="1" applyAlignment="1">
      <alignment horizontal="center"/>
    </xf>
    <xf numFmtId="9" fontId="13" fillId="0" borderId="29" xfId="4" applyFont="1" applyFill="1" applyBorder="1" applyAlignment="1" applyProtection="1">
      <alignment horizontal="center"/>
    </xf>
    <xf numFmtId="9" fontId="13" fillId="0" borderId="75" xfId="4" applyFont="1" applyFill="1" applyBorder="1" applyAlignment="1" applyProtection="1">
      <alignment horizontal="center"/>
    </xf>
    <xf numFmtId="9" fontId="7" fillId="0" borderId="22" xfId="4" applyNumberFormat="1" applyFont="1" applyFill="1" applyBorder="1" applyAlignment="1" applyProtection="1">
      <alignment horizontal="center"/>
    </xf>
    <xf numFmtId="9" fontId="45" fillId="0" borderId="22" xfId="4" applyFont="1" applyFill="1" applyBorder="1" applyAlignment="1" applyProtection="1">
      <alignment horizontal="center"/>
    </xf>
    <xf numFmtId="10" fontId="13" fillId="0" borderId="3" xfId="4" applyNumberFormat="1" applyFont="1" applyFill="1" applyBorder="1" applyAlignment="1" applyProtection="1">
      <alignment horizontal="center"/>
    </xf>
    <xf numFmtId="9" fontId="13" fillId="0" borderId="0" xfId="4" applyNumberFormat="1" applyFont="1" applyFill="1" applyBorder="1" applyAlignment="1" applyProtection="1">
      <alignment horizontal="center"/>
    </xf>
    <xf numFmtId="167" fontId="6" fillId="0" borderId="93" xfId="0" applyNumberFormat="1" applyFont="1" applyBorder="1" applyAlignment="1">
      <alignment horizontal="center"/>
    </xf>
    <xf numFmtId="9" fontId="13" fillId="0" borderId="0" xfId="4" applyFont="1" applyFill="1" applyBorder="1" applyAlignment="1" applyProtection="1">
      <alignment horizontal="center"/>
    </xf>
    <xf numFmtId="169" fontId="6" fillId="0" borderId="93" xfId="0" applyNumberFormat="1" applyFont="1" applyBorder="1" applyAlignment="1">
      <alignment horizontal="center"/>
    </xf>
    <xf numFmtId="0" fontId="7" fillId="0" borderId="49" xfId="0" applyFont="1" applyBorder="1"/>
    <xf numFmtId="169" fontId="7" fillId="0" borderId="94" xfId="0" applyNumberFormat="1" applyFont="1" applyBorder="1" applyAlignment="1">
      <alignment horizontal="center"/>
    </xf>
    <xf numFmtId="9" fontId="13" fillId="0" borderId="50" xfId="4" applyNumberFormat="1" applyFont="1" applyFill="1" applyBorder="1" applyAlignment="1" applyProtection="1">
      <alignment horizontal="center"/>
    </xf>
    <xf numFmtId="169" fontId="6" fillId="0" borderId="95" xfId="0" applyNumberFormat="1" applyFont="1" applyBorder="1" applyAlignment="1">
      <alignment horizontal="center"/>
    </xf>
    <xf numFmtId="0" fontId="46" fillId="0" borderId="0" xfId="0" applyFont="1"/>
    <xf numFmtId="0" fontId="46" fillId="6" borderId="0" xfId="0" applyFont="1" applyFill="1"/>
    <xf numFmtId="0" fontId="46" fillId="0" borderId="0" xfId="0" applyFont="1" applyFill="1"/>
    <xf numFmtId="167" fontId="46" fillId="7" borderId="30" xfId="0" applyNumberFormat="1" applyFont="1" applyFill="1" applyBorder="1"/>
    <xf numFmtId="164" fontId="46" fillId="0" borderId="0" xfId="0" applyNumberFormat="1" applyFont="1"/>
    <xf numFmtId="167" fontId="46" fillId="7" borderId="31" xfId="0" applyNumberFormat="1" applyFont="1" applyFill="1" applyBorder="1"/>
    <xf numFmtId="172" fontId="46" fillId="0" borderId="0" xfId="0" applyNumberFormat="1" applyFont="1"/>
    <xf numFmtId="0" fontId="46" fillId="0" borderId="0" xfId="0" applyNumberFormat="1" applyFont="1"/>
    <xf numFmtId="3" fontId="46" fillId="7" borderId="31" xfId="0" applyNumberFormat="1" applyFont="1" applyFill="1" applyBorder="1"/>
    <xf numFmtId="1" fontId="46" fillId="0" borderId="0" xfId="0" applyNumberFormat="1" applyFont="1"/>
    <xf numFmtId="164" fontId="46" fillId="7" borderId="31" xfId="0" applyNumberFormat="1" applyFont="1" applyFill="1" applyBorder="1"/>
    <xf numFmtId="9" fontId="46" fillId="7" borderId="31" xfId="4" applyFont="1" applyFill="1" applyBorder="1" applyAlignment="1" applyProtection="1"/>
    <xf numFmtId="9" fontId="46" fillId="0" borderId="31" xfId="4" applyFont="1" applyFill="1" applyBorder="1" applyAlignment="1" applyProtection="1"/>
    <xf numFmtId="167" fontId="46" fillId="7" borderId="31" xfId="4" applyNumberFormat="1" applyFont="1" applyFill="1" applyBorder="1" applyAlignment="1" applyProtection="1"/>
    <xf numFmtId="10" fontId="46" fillId="7" borderId="31" xfId="4" applyNumberFormat="1" applyFont="1" applyFill="1" applyBorder="1" applyAlignment="1" applyProtection="1"/>
    <xf numFmtId="164" fontId="46" fillId="7" borderId="31" xfId="4" applyNumberFormat="1" applyFont="1" applyFill="1" applyBorder="1" applyAlignment="1" applyProtection="1"/>
    <xf numFmtId="2" fontId="46" fillId="7" borderId="31" xfId="0" applyNumberFormat="1" applyFont="1" applyFill="1" applyBorder="1"/>
    <xf numFmtId="0" fontId="47" fillId="0" borderId="31" xfId="110" applyFont="1" applyBorder="1"/>
    <xf numFmtId="0" fontId="46" fillId="0" borderId="0" xfId="0" applyFont="1" applyBorder="1"/>
    <xf numFmtId="2" fontId="46" fillId="7" borderId="0" xfId="0" applyNumberFormat="1" applyFont="1" applyFill="1" applyBorder="1"/>
    <xf numFmtId="2" fontId="46" fillId="0" borderId="0" xfId="0" applyNumberFormat="1" applyFont="1" applyFill="1" applyBorder="1"/>
    <xf numFmtId="0" fontId="47" fillId="0" borderId="83" xfId="110" applyFont="1" applyBorder="1"/>
    <xf numFmtId="0" fontId="46" fillId="5" borderId="0" xfId="0" applyFont="1" applyFill="1"/>
    <xf numFmtId="167" fontId="46" fillId="0" borderId="30" xfId="0" applyNumberFormat="1" applyFont="1" applyFill="1" applyBorder="1"/>
    <xf numFmtId="167" fontId="46" fillId="0" borderId="31" xfId="0" applyNumberFormat="1" applyFont="1" applyFill="1" applyBorder="1"/>
    <xf numFmtId="167" fontId="46" fillId="0" borderId="48" xfId="0" applyNumberFormat="1" applyFont="1" applyFill="1" applyBorder="1"/>
    <xf numFmtId="3" fontId="46" fillId="0" borderId="31" xfId="0" applyNumberFormat="1" applyFont="1" applyFill="1" applyBorder="1"/>
    <xf numFmtId="3" fontId="46" fillId="0" borderId="48" xfId="0" applyNumberFormat="1" applyFont="1" applyFill="1" applyBorder="1"/>
    <xf numFmtId="164" fontId="46" fillId="0" borderId="48" xfId="0" applyNumberFormat="1" applyFont="1" applyFill="1" applyBorder="1"/>
    <xf numFmtId="164" fontId="46" fillId="0" borderId="31" xfId="0" applyNumberFormat="1" applyFont="1" applyFill="1" applyBorder="1"/>
    <xf numFmtId="9" fontId="46" fillId="0" borderId="48" xfId="4" applyFont="1" applyFill="1" applyBorder="1" applyAlignment="1" applyProtection="1"/>
    <xf numFmtId="167" fontId="46" fillId="0" borderId="31" xfId="4" applyNumberFormat="1" applyFont="1" applyFill="1" applyBorder="1" applyAlignment="1" applyProtection="1"/>
    <xf numFmtId="167" fontId="46" fillId="0" borderId="48" xfId="4" applyNumberFormat="1" applyFont="1" applyFill="1" applyBorder="1" applyAlignment="1" applyProtection="1"/>
    <xf numFmtId="9" fontId="46" fillId="0" borderId="31" xfId="4" applyNumberFormat="1" applyFont="1" applyFill="1" applyBorder="1" applyAlignment="1" applyProtection="1"/>
    <xf numFmtId="9" fontId="46" fillId="0" borderId="48" xfId="4" applyNumberFormat="1" applyFont="1" applyFill="1" applyBorder="1" applyAlignment="1" applyProtection="1"/>
    <xf numFmtId="164" fontId="46" fillId="0" borderId="31" xfId="4" applyNumberFormat="1" applyFont="1" applyFill="1" applyBorder="1" applyAlignment="1" applyProtection="1"/>
    <xf numFmtId="164" fontId="46" fillId="0" borderId="48" xfId="4" applyNumberFormat="1" applyFont="1" applyFill="1" applyBorder="1" applyAlignment="1" applyProtection="1"/>
    <xf numFmtId="2" fontId="46" fillId="0" borderId="31" xfId="0" applyNumberFormat="1" applyFont="1" applyFill="1" applyBorder="1"/>
    <xf numFmtId="2" fontId="46" fillId="5" borderId="0" xfId="0" applyNumberFormat="1" applyFont="1" applyFill="1" applyBorder="1"/>
    <xf numFmtId="2" fontId="46" fillId="6" borderId="0" xfId="0" applyNumberFormat="1" applyFont="1" applyFill="1" applyBorder="1"/>
    <xf numFmtId="2" fontId="46" fillId="4" borderId="0" xfId="0" applyNumberFormat="1" applyFont="1" applyFill="1" applyBorder="1"/>
    <xf numFmtId="4" fontId="46" fillId="0" borderId="0" xfId="0" applyNumberFormat="1" applyFont="1" applyBorder="1"/>
    <xf numFmtId="9" fontId="46" fillId="0" borderId="0" xfId="0" applyNumberFormat="1" applyFont="1"/>
    <xf numFmtId="0" fontId="47" fillId="0" borderId="0" xfId="0" applyFont="1" applyBorder="1"/>
    <xf numFmtId="0" fontId="49" fillId="0" borderId="0" xfId="0" applyFont="1" applyBorder="1" applyAlignment="1">
      <alignment wrapText="1"/>
    </xf>
    <xf numFmtId="0" fontId="46" fillId="0" borderId="25" xfId="0" applyFont="1" applyBorder="1" applyAlignment="1">
      <alignment wrapText="1"/>
    </xf>
    <xf numFmtId="2" fontId="46" fillId="0" borderId="0" xfId="0" applyNumberFormat="1" applyFont="1" applyFill="1" applyBorder="1" applyAlignment="1"/>
    <xf numFmtId="0" fontId="46" fillId="0" borderId="0" xfId="0" applyFont="1" applyBorder="1" applyAlignment="1"/>
    <xf numFmtId="0" fontId="46" fillId="5" borderId="0" xfId="0" applyFont="1" applyFill="1" applyBorder="1"/>
    <xf numFmtId="0" fontId="46" fillId="6" borderId="0" xfId="0" applyFont="1" applyFill="1" applyBorder="1"/>
    <xf numFmtId="0" fontId="46" fillId="0" borderId="0" xfId="0" applyFont="1" applyFill="1" applyBorder="1"/>
    <xf numFmtId="0" fontId="50" fillId="0" borderId="0" xfId="0" applyFont="1" applyBorder="1" applyAlignment="1">
      <alignment wrapText="1"/>
    </xf>
    <xf numFmtId="10" fontId="46" fillId="0" borderId="0" xfId="0" applyNumberFormat="1" applyFont="1" applyBorder="1"/>
    <xf numFmtId="10" fontId="46" fillId="5" borderId="0" xfId="0" applyNumberFormat="1" applyFont="1" applyFill="1" applyBorder="1"/>
    <xf numFmtId="0" fontId="46" fillId="0" borderId="0" xfId="0" applyFont="1" applyAlignment="1">
      <alignment horizontal="left"/>
    </xf>
    <xf numFmtId="0" fontId="46" fillId="0" borderId="0" xfId="0" applyFont="1" applyBorder="1" applyAlignment="1">
      <alignment horizontal="left"/>
    </xf>
    <xf numFmtId="0" fontId="46" fillId="5" borderId="0" xfId="0" applyFont="1" applyFill="1" applyBorder="1" applyAlignment="1">
      <alignment horizontal="left"/>
    </xf>
    <xf numFmtId="0" fontId="46" fillId="6" borderId="0" xfId="0" applyFont="1" applyFill="1" applyBorder="1" applyAlignment="1">
      <alignment horizontal="left"/>
    </xf>
    <xf numFmtId="0" fontId="46" fillId="6" borderId="0" xfId="0" applyFont="1" applyFill="1" applyAlignment="1">
      <alignment horizontal="left"/>
    </xf>
    <xf numFmtId="0" fontId="46" fillId="0" borderId="0" xfId="0" applyFont="1" applyFill="1" applyAlignment="1">
      <alignment horizontal="left"/>
    </xf>
    <xf numFmtId="0" fontId="46" fillId="0" borderId="0" xfId="0" applyFont="1" applyBorder="1" applyAlignment="1">
      <alignment wrapText="1"/>
    </xf>
    <xf numFmtId="0" fontId="50" fillId="0" borderId="24" xfId="0" applyFont="1" applyBorder="1" applyAlignment="1">
      <alignment wrapText="1"/>
    </xf>
    <xf numFmtId="9" fontId="47" fillId="0" borderId="83" xfId="110" applyNumberFormat="1" applyFont="1" applyBorder="1"/>
    <xf numFmtId="167" fontId="46" fillId="0" borderId="37" xfId="0" applyNumberFormat="1" applyFont="1" applyFill="1" applyBorder="1"/>
    <xf numFmtId="167" fontId="46" fillId="5" borderId="37" xfId="0" applyNumberFormat="1" applyFont="1" applyFill="1" applyBorder="1"/>
    <xf numFmtId="167" fontId="46" fillId="6" borderId="37" xfId="0" applyNumberFormat="1" applyFont="1" applyFill="1" applyBorder="1"/>
    <xf numFmtId="167" fontId="46" fillId="7" borderId="37" xfId="0" applyNumberFormat="1" applyFont="1" applyFill="1" applyBorder="1"/>
    <xf numFmtId="3" fontId="46" fillId="0" borderId="37" xfId="0" applyNumberFormat="1" applyFont="1" applyFill="1" applyBorder="1"/>
    <xf numFmtId="3" fontId="46" fillId="5" borderId="37" xfId="0" applyNumberFormat="1" applyFont="1" applyFill="1" applyBorder="1"/>
    <xf numFmtId="3" fontId="46" fillId="6" borderId="37" xfId="0" applyNumberFormat="1" applyFont="1" applyFill="1" applyBorder="1"/>
    <xf numFmtId="3" fontId="46" fillId="7" borderId="37" xfId="0" applyNumberFormat="1" applyFont="1" applyFill="1" applyBorder="1"/>
    <xf numFmtId="164" fontId="46" fillId="7" borderId="37" xfId="0" applyNumberFormat="1" applyFont="1" applyFill="1" applyBorder="1"/>
    <xf numFmtId="164" fontId="46" fillId="0" borderId="37" xfId="0" applyNumberFormat="1" applyFont="1" applyFill="1" applyBorder="1"/>
    <xf numFmtId="167" fontId="46" fillId="5" borderId="37" xfId="4" applyNumberFormat="1" applyFont="1" applyFill="1" applyBorder="1" applyAlignment="1" applyProtection="1"/>
    <xf numFmtId="167" fontId="46" fillId="6" borderId="37" xfId="4" applyNumberFormat="1" applyFont="1" applyFill="1" applyBorder="1" applyAlignment="1" applyProtection="1"/>
    <xf numFmtId="167" fontId="46" fillId="7" borderId="37" xfId="4" applyNumberFormat="1" applyFont="1" applyFill="1" applyBorder="1" applyAlignment="1" applyProtection="1"/>
    <xf numFmtId="9" fontId="46" fillId="0" borderId="37" xfId="4" applyFont="1" applyFill="1" applyBorder="1" applyAlignment="1" applyProtection="1"/>
    <xf numFmtId="9" fontId="46" fillId="5" borderId="37" xfId="4" applyFont="1" applyFill="1" applyBorder="1" applyAlignment="1" applyProtection="1"/>
    <xf numFmtId="9" fontId="46" fillId="6" borderId="37" xfId="4" applyFont="1" applyFill="1" applyBorder="1" applyAlignment="1" applyProtection="1"/>
    <xf numFmtId="9" fontId="46" fillId="7" borderId="37" xfId="4" applyFont="1" applyFill="1" applyBorder="1" applyAlignment="1" applyProtection="1"/>
    <xf numFmtId="167" fontId="46" fillId="0" borderId="37" xfId="4" applyNumberFormat="1" applyFont="1" applyFill="1" applyBorder="1" applyAlignment="1" applyProtection="1"/>
    <xf numFmtId="9" fontId="46" fillId="0" borderId="37" xfId="4" applyNumberFormat="1" applyFont="1" applyFill="1" applyBorder="1" applyAlignment="1" applyProtection="1"/>
    <xf numFmtId="9" fontId="46" fillId="5" borderId="37" xfId="4" applyNumberFormat="1" applyFont="1" applyFill="1" applyBorder="1" applyAlignment="1" applyProtection="1"/>
    <xf numFmtId="9" fontId="46" fillId="6" borderId="37" xfId="4" applyNumberFormat="1" applyFont="1" applyFill="1" applyBorder="1" applyAlignment="1" applyProtection="1"/>
    <xf numFmtId="9" fontId="46" fillId="7" borderId="37" xfId="4" applyNumberFormat="1" applyFont="1" applyFill="1" applyBorder="1" applyAlignment="1" applyProtection="1"/>
    <xf numFmtId="164" fontId="46" fillId="0" borderId="37" xfId="4" applyNumberFormat="1" applyFont="1" applyFill="1" applyBorder="1" applyAlignment="1" applyProtection="1"/>
    <xf numFmtId="164" fontId="46" fillId="7" borderId="37" xfId="4" applyNumberFormat="1" applyFont="1" applyFill="1" applyBorder="1" applyAlignment="1" applyProtection="1"/>
    <xf numFmtId="168" fontId="46" fillId="0" borderId="37" xfId="0" applyNumberFormat="1" applyFont="1" applyFill="1" applyBorder="1"/>
    <xf numFmtId="2" fontId="46" fillId="0" borderId="37" xfId="0" applyNumberFormat="1" applyFont="1" applyFill="1" applyBorder="1"/>
    <xf numFmtId="2" fontId="46" fillId="5" borderId="37" xfId="0" applyNumberFormat="1" applyFont="1" applyFill="1" applyBorder="1"/>
    <xf numFmtId="2" fontId="46" fillId="6" borderId="37" xfId="0" applyNumberFormat="1" applyFont="1" applyFill="1" applyBorder="1"/>
    <xf numFmtId="2" fontId="46" fillId="7" borderId="37" xfId="0" applyNumberFormat="1" applyFont="1" applyFill="1" applyBorder="1"/>
    <xf numFmtId="0" fontId="47" fillId="0" borderId="39" xfId="0" applyFont="1" applyBorder="1"/>
    <xf numFmtId="0" fontId="47" fillId="0" borderId="40" xfId="0" applyFont="1" applyBorder="1"/>
    <xf numFmtId="165" fontId="47" fillId="0" borderId="40" xfId="0" applyNumberFormat="1" applyFont="1" applyFill="1" applyBorder="1" applyAlignment="1">
      <alignment horizontal="center"/>
    </xf>
    <xf numFmtId="166" fontId="47" fillId="5" borderId="40" xfId="0" applyNumberFormat="1" applyFont="1" applyFill="1" applyBorder="1" applyAlignment="1">
      <alignment horizontal="center"/>
    </xf>
    <xf numFmtId="166" fontId="47" fillId="6" borderId="40" xfId="0" applyNumberFormat="1" applyFont="1" applyFill="1" applyBorder="1" applyAlignment="1">
      <alignment horizontal="center"/>
    </xf>
    <xf numFmtId="166" fontId="47" fillId="0" borderId="40" xfId="0" applyNumberFormat="1" applyFont="1" applyFill="1" applyBorder="1" applyAlignment="1">
      <alignment horizontal="center"/>
    </xf>
    <xf numFmtId="166" fontId="47" fillId="7" borderId="40" xfId="0" applyNumberFormat="1" applyFont="1" applyFill="1" applyBorder="1" applyAlignment="1">
      <alignment horizontal="center"/>
    </xf>
    <xf numFmtId="167" fontId="46" fillId="7" borderId="45" xfId="0" applyNumberFormat="1" applyFont="1" applyFill="1" applyBorder="1"/>
    <xf numFmtId="3" fontId="46" fillId="7" borderId="45" xfId="0" applyNumberFormat="1" applyFont="1" applyFill="1" applyBorder="1"/>
    <xf numFmtId="164" fontId="46" fillId="7" borderId="45" xfId="0" applyNumberFormat="1" applyFont="1" applyFill="1" applyBorder="1"/>
    <xf numFmtId="9" fontId="46" fillId="7" borderId="45" xfId="4" applyFont="1" applyFill="1" applyBorder="1" applyAlignment="1" applyProtection="1"/>
    <xf numFmtId="167" fontId="46" fillId="7" borderId="45" xfId="4" applyNumberFormat="1" applyFont="1" applyFill="1" applyBorder="1" applyAlignment="1" applyProtection="1"/>
    <xf numFmtId="9" fontId="46" fillId="7" borderId="45" xfId="4" applyNumberFormat="1" applyFont="1" applyFill="1" applyBorder="1" applyAlignment="1" applyProtection="1"/>
    <xf numFmtId="164" fontId="46" fillId="7" borderId="45" xfId="4" applyNumberFormat="1" applyFont="1" applyFill="1" applyBorder="1" applyAlignment="1" applyProtection="1"/>
    <xf numFmtId="2" fontId="46" fillId="7" borderId="45" xfId="0" applyNumberFormat="1" applyFont="1" applyFill="1" applyBorder="1"/>
    <xf numFmtId="0" fontId="47" fillId="0" borderId="44" xfId="0" applyFont="1" applyBorder="1"/>
    <xf numFmtId="164" fontId="47" fillId="0" borderId="44" xfId="0" applyNumberFormat="1" applyFont="1" applyBorder="1"/>
    <xf numFmtId="0" fontId="47" fillId="0" borderId="44" xfId="0" applyFont="1" applyFill="1" applyBorder="1"/>
    <xf numFmtId="0" fontId="46" fillId="0" borderId="44" xfId="0" applyFont="1" applyBorder="1"/>
    <xf numFmtId="2" fontId="46" fillId="0" borderId="48" xfId="0" applyNumberFormat="1" applyFont="1" applyFill="1" applyBorder="1"/>
    <xf numFmtId="167" fontId="46" fillId="6" borderId="48" xfId="0" applyNumberFormat="1" applyFont="1" applyFill="1" applyBorder="1"/>
    <xf numFmtId="3" fontId="46" fillId="6" borderId="48" xfId="0" applyNumberFormat="1" applyFont="1" applyFill="1" applyBorder="1"/>
    <xf numFmtId="164" fontId="46" fillId="6" borderId="48" xfId="0" applyNumberFormat="1" applyFont="1" applyFill="1" applyBorder="1"/>
    <xf numFmtId="9" fontId="46" fillId="6" borderId="48" xfId="4" applyFont="1" applyFill="1" applyBorder="1" applyAlignment="1" applyProtection="1"/>
    <xf numFmtId="167" fontId="46" fillId="6" borderId="48" xfId="4" applyNumberFormat="1" applyFont="1" applyFill="1" applyBorder="1" applyAlignment="1" applyProtection="1"/>
    <xf numFmtId="9" fontId="46" fillId="6" borderId="48" xfId="4" applyNumberFormat="1" applyFont="1" applyFill="1" applyBorder="1" applyAlignment="1" applyProtection="1"/>
    <xf numFmtId="164" fontId="46" fillId="6" borderId="48" xfId="4" applyNumberFormat="1" applyFont="1" applyFill="1" applyBorder="1" applyAlignment="1" applyProtection="1"/>
    <xf numFmtId="2" fontId="46" fillId="6" borderId="48" xfId="0" applyNumberFormat="1" applyFont="1" applyFill="1" applyBorder="1"/>
    <xf numFmtId="0" fontId="46" fillId="0" borderId="48" xfId="0" applyFont="1" applyBorder="1"/>
    <xf numFmtId="0" fontId="47" fillId="0" borderId="30" xfId="0" applyFont="1" applyBorder="1"/>
    <xf numFmtId="0" fontId="47" fillId="0" borderId="31" xfId="0" applyFont="1" applyBorder="1"/>
    <xf numFmtId="0" fontId="47" fillId="0" borderId="31" xfId="0" applyFont="1" applyFill="1" applyBorder="1"/>
    <xf numFmtId="0" fontId="47" fillId="0" borderId="31" xfId="110" applyFont="1" applyFill="1" applyBorder="1"/>
    <xf numFmtId="9" fontId="46" fillId="7" borderId="31" xfId="4" applyNumberFormat="1" applyFont="1" applyFill="1" applyBorder="1" applyAlignment="1" applyProtection="1"/>
    <xf numFmtId="9" fontId="46" fillId="6" borderId="83" xfId="0" applyNumberFormat="1" applyFont="1" applyFill="1" applyBorder="1"/>
    <xf numFmtId="9" fontId="46" fillId="0" borderId="83" xfId="0" applyNumberFormat="1" applyFont="1" applyFill="1" applyBorder="1"/>
    <xf numFmtId="2" fontId="46" fillId="0" borderId="31" xfId="0" applyNumberFormat="1" applyFont="1" applyBorder="1"/>
    <xf numFmtId="0" fontId="47" fillId="0" borderId="96" xfId="0" applyFont="1" applyBorder="1"/>
    <xf numFmtId="167" fontId="46" fillId="0" borderId="97" xfId="0" applyNumberFormat="1" applyFont="1" applyFill="1" applyBorder="1"/>
    <xf numFmtId="167" fontId="46" fillId="5" borderId="97" xfId="0" applyNumberFormat="1" applyFont="1" applyFill="1" applyBorder="1"/>
    <xf numFmtId="167" fontId="46" fillId="6" borderId="97" xfId="0" applyNumberFormat="1" applyFont="1" applyFill="1" applyBorder="1"/>
    <xf numFmtId="167" fontId="46" fillId="7" borderId="97" xfId="0" applyNumberFormat="1" applyFont="1" applyFill="1" applyBorder="1"/>
    <xf numFmtId="167" fontId="46" fillId="7" borderId="98" xfId="0" applyNumberFormat="1" applyFont="1" applyFill="1" applyBorder="1"/>
    <xf numFmtId="167" fontId="46" fillId="0" borderId="99" xfId="0" applyNumberFormat="1" applyFont="1" applyFill="1" applyBorder="1"/>
    <xf numFmtId="167" fontId="46" fillId="6" borderId="99" xfId="0" applyNumberFormat="1" applyFont="1" applyFill="1" applyBorder="1"/>
    <xf numFmtId="9" fontId="46" fillId="0" borderId="88" xfId="0" applyNumberFormat="1" applyFont="1" applyBorder="1"/>
    <xf numFmtId="9" fontId="46" fillId="0" borderId="89" xfId="0" applyNumberFormat="1" applyFont="1" applyFill="1" applyBorder="1"/>
    <xf numFmtId="9" fontId="46" fillId="5" borderId="89" xfId="0" applyNumberFormat="1" applyFont="1" applyFill="1" applyBorder="1"/>
    <xf numFmtId="9" fontId="46" fillId="6" borderId="89" xfId="0" applyNumberFormat="1" applyFont="1" applyFill="1" applyBorder="1"/>
    <xf numFmtId="9" fontId="46" fillId="7" borderId="89" xfId="0" applyNumberFormat="1" applyFont="1" applyFill="1" applyBorder="1"/>
    <xf numFmtId="9" fontId="46" fillId="0" borderId="89" xfId="0" applyNumberFormat="1" applyFont="1" applyBorder="1"/>
    <xf numFmtId="9" fontId="46" fillId="6" borderId="100" xfId="0" applyNumberFormat="1" applyFont="1" applyFill="1" applyBorder="1"/>
    <xf numFmtId="9" fontId="46" fillId="0" borderId="101" xfId="0" applyNumberFormat="1" applyFont="1" applyFill="1" applyBorder="1"/>
    <xf numFmtId="9" fontId="46" fillId="0" borderId="101" xfId="0" applyNumberFormat="1" applyFont="1" applyBorder="1"/>
    <xf numFmtId="0" fontId="47" fillId="0" borderId="99" xfId="0" applyFont="1" applyBorder="1"/>
    <xf numFmtId="0" fontId="47" fillId="0" borderId="48" xfId="0" applyFont="1" applyBorder="1"/>
    <xf numFmtId="164" fontId="47" fillId="0" borderId="48" xfId="0" applyNumberFormat="1" applyFont="1" applyBorder="1"/>
    <xf numFmtId="0" fontId="47" fillId="0" borderId="48" xfId="0" applyFont="1" applyFill="1" applyBorder="1"/>
    <xf numFmtId="0" fontId="46" fillId="0" borderId="101" xfId="0" applyFont="1" applyBorder="1"/>
    <xf numFmtId="167" fontId="46" fillId="7" borderId="99" xfId="0" applyNumberFormat="1" applyFont="1" applyFill="1" applyBorder="1"/>
    <xf numFmtId="167" fontId="46" fillId="7" borderId="48" xfId="0" applyNumberFormat="1" applyFont="1" applyFill="1" applyBorder="1"/>
    <xf numFmtId="3" fontId="46" fillId="7" borderId="48" xfId="0" applyNumberFormat="1" applyFont="1" applyFill="1" applyBorder="1"/>
    <xf numFmtId="164" fontId="46" fillId="7" borderId="48" xfId="0" applyNumberFormat="1" applyFont="1" applyFill="1" applyBorder="1"/>
    <xf numFmtId="9" fontId="46" fillId="7" borderId="48" xfId="4" applyFont="1" applyFill="1" applyBorder="1" applyAlignment="1" applyProtection="1"/>
    <xf numFmtId="167" fontId="46" fillId="7" borderId="48" xfId="4" applyNumberFormat="1" applyFont="1" applyFill="1" applyBorder="1" applyAlignment="1" applyProtection="1"/>
    <xf numFmtId="9" fontId="46" fillId="7" borderId="48" xfId="4" applyNumberFormat="1" applyFont="1" applyFill="1" applyBorder="1" applyAlignment="1" applyProtection="1"/>
    <xf numFmtId="164" fontId="46" fillId="7" borderId="48" xfId="4" applyNumberFormat="1" applyFont="1" applyFill="1" applyBorder="1" applyAlignment="1" applyProtection="1"/>
    <xf numFmtId="2" fontId="46" fillId="7" borderId="48" xfId="0" applyNumberFormat="1" applyFont="1" applyFill="1" applyBorder="1"/>
    <xf numFmtId="9" fontId="46" fillId="7" borderId="101" xfId="4" applyFont="1" applyFill="1" applyBorder="1" applyAlignment="1" applyProtection="1"/>
    <xf numFmtId="10" fontId="46" fillId="7" borderId="48" xfId="4" applyNumberFormat="1" applyFont="1" applyFill="1" applyBorder="1" applyAlignment="1" applyProtection="1"/>
    <xf numFmtId="2" fontId="46" fillId="0" borderId="48" xfId="0" applyNumberFormat="1" applyFont="1" applyBorder="1"/>
    <xf numFmtId="9" fontId="46" fillId="7" borderId="83" xfId="4" applyFont="1" applyFill="1" applyBorder="1" applyAlignment="1" applyProtection="1"/>
    <xf numFmtId="10" fontId="46" fillId="0" borderId="31" xfId="4" applyNumberFormat="1" applyFont="1" applyFill="1" applyBorder="1" applyAlignment="1" applyProtection="1"/>
    <xf numFmtId="10" fontId="46" fillId="6" borderId="48" xfId="4" applyNumberFormat="1" applyFont="1" applyFill="1" applyBorder="1" applyAlignment="1" applyProtection="1"/>
    <xf numFmtId="9" fontId="6" fillId="0" borderId="0" xfId="4" applyNumberFormat="1" applyFont="1" applyFill="1" applyBorder="1" applyAlignment="1" applyProtection="1">
      <alignment horizontal="center"/>
    </xf>
    <xf numFmtId="9" fontId="45" fillId="0" borderId="0" xfId="4" applyFont="1" applyFill="1" applyBorder="1" applyAlignment="1" applyProtection="1">
      <alignment horizontal="center"/>
    </xf>
    <xf numFmtId="10" fontId="46" fillId="0" borderId="48" xfId="4" applyNumberFormat="1" applyFont="1" applyFill="1" applyBorder="1" applyAlignment="1" applyProtection="1"/>
    <xf numFmtId="9" fontId="46" fillId="0" borderId="101" xfId="4" applyFont="1" applyFill="1" applyBorder="1" applyAlignment="1" applyProtection="1"/>
    <xf numFmtId="0" fontId="42" fillId="6" borderId="37" xfId="0" applyNumberFormat="1" applyFont="1" applyFill="1" applyBorder="1" applyAlignment="1">
      <alignment horizontal="center" vertical="center"/>
    </xf>
    <xf numFmtId="171" fontId="42" fillId="0" borderId="44" xfId="0" applyNumberFormat="1" applyFont="1" applyBorder="1" applyAlignment="1">
      <alignment horizontal="center" vertical="center"/>
    </xf>
    <xf numFmtId="10" fontId="42" fillId="8" borderId="45" xfId="0" applyNumberFormat="1" applyFont="1" applyFill="1" applyBorder="1" applyAlignment="1">
      <alignment horizontal="center" vertical="center"/>
    </xf>
    <xf numFmtId="0" fontId="43" fillId="50" borderId="42" xfId="0" applyFont="1" applyFill="1" applyBorder="1" applyAlignment="1">
      <alignment horizontal="center" vertical="center" textRotation="90"/>
    </xf>
    <xf numFmtId="0" fontId="43" fillId="50" borderId="34" xfId="0" applyFont="1" applyFill="1" applyBorder="1" applyAlignment="1">
      <alignment horizontal="center" vertical="center" textRotation="90"/>
    </xf>
    <xf numFmtId="164" fontId="43" fillId="50" borderId="34" xfId="0" applyNumberFormat="1" applyFont="1" applyFill="1" applyBorder="1" applyAlignment="1">
      <alignment horizontal="center" vertical="center" textRotation="90"/>
    </xf>
    <xf numFmtId="1" fontId="43" fillId="50" borderId="34" xfId="0" applyNumberFormat="1" applyFont="1" applyFill="1" applyBorder="1" applyAlignment="1">
      <alignment horizontal="center" vertical="center" textRotation="90"/>
    </xf>
    <xf numFmtId="164" fontId="42" fillId="51" borderId="34" xfId="0" applyNumberFormat="1" applyFont="1" applyFill="1" applyBorder="1" applyAlignment="1">
      <alignment horizontal="center" vertical="center" textRotation="90"/>
    </xf>
    <xf numFmtId="0" fontId="42" fillId="51" borderId="34" xfId="0" applyFont="1" applyFill="1" applyBorder="1" applyAlignment="1">
      <alignment horizontal="center" vertical="center" textRotation="90"/>
    </xf>
    <xf numFmtId="164" fontId="43" fillId="53" borderId="34" xfId="0" applyNumberFormat="1" applyFont="1" applyFill="1" applyBorder="1" applyAlignment="1">
      <alignment horizontal="center" vertical="center" textRotation="90"/>
    </xf>
    <xf numFmtId="0" fontId="44" fillId="51" borderId="34" xfId="0" applyFont="1" applyFill="1" applyBorder="1" applyAlignment="1">
      <alignment horizontal="center" vertical="center" textRotation="90"/>
    </xf>
    <xf numFmtId="164" fontId="44" fillId="51" borderId="34" xfId="0" applyNumberFormat="1" applyFont="1" applyFill="1" applyBorder="1" applyAlignment="1">
      <alignment horizontal="center" vertical="center" textRotation="90"/>
    </xf>
    <xf numFmtId="2" fontId="42" fillId="54" borderId="34" xfId="0" applyNumberFormat="1" applyFont="1" applyFill="1" applyBorder="1" applyAlignment="1">
      <alignment horizontal="center" vertical="center" textRotation="90"/>
    </xf>
    <xf numFmtId="10" fontId="42" fillId="54" borderId="43" xfId="0" applyNumberFormat="1" applyFont="1" applyFill="1" applyBorder="1" applyAlignment="1">
      <alignment horizontal="center" vertical="center" textRotation="90"/>
    </xf>
    <xf numFmtId="164" fontId="6" fillId="0" borderId="61" xfId="0" applyNumberFormat="1" applyFont="1" applyFill="1" applyBorder="1"/>
    <xf numFmtId="10" fontId="6" fillId="0" borderId="61" xfId="4" applyNumberFormat="1" applyFont="1" applyFill="1" applyBorder="1" applyAlignment="1" applyProtection="1"/>
    <xf numFmtId="9" fontId="6" fillId="0" borderId="92" xfId="4" applyFont="1" applyFill="1" applyBorder="1"/>
    <xf numFmtId="166" fontId="47" fillId="0" borderId="103" xfId="0" applyNumberFormat="1" applyFont="1" applyFill="1" applyBorder="1" applyAlignment="1">
      <alignment horizontal="center"/>
    </xf>
    <xf numFmtId="167" fontId="46" fillId="0" borderId="90" xfId="0" applyNumberFormat="1" applyFont="1" applyFill="1" applyBorder="1"/>
    <xf numFmtId="167" fontId="46" fillId="0" borderId="61" xfId="0" applyNumberFormat="1" applyFont="1" applyFill="1" applyBorder="1"/>
    <xf numFmtId="3" fontId="46" fillId="0" borderId="61" xfId="0" applyNumberFormat="1" applyFont="1" applyFill="1" applyBorder="1"/>
    <xf numFmtId="164" fontId="46" fillId="0" borderId="61" xfId="0" applyNumberFormat="1" applyFont="1" applyFill="1" applyBorder="1"/>
    <xf numFmtId="9" fontId="46" fillId="0" borderId="61" xfId="4" applyFont="1" applyFill="1" applyBorder="1" applyAlignment="1" applyProtection="1"/>
    <xf numFmtId="167" fontId="46" fillId="0" borderId="61" xfId="4" applyNumberFormat="1" applyFont="1" applyFill="1" applyBorder="1" applyAlignment="1" applyProtection="1"/>
    <xf numFmtId="9" fontId="46" fillId="0" borderId="61" xfId="4" applyNumberFormat="1" applyFont="1" applyFill="1" applyBorder="1" applyAlignment="1" applyProtection="1"/>
    <xf numFmtId="164" fontId="46" fillId="0" borderId="61" xfId="4" applyNumberFormat="1" applyFont="1" applyFill="1" applyBorder="1" applyAlignment="1" applyProtection="1"/>
    <xf numFmtId="10" fontId="46" fillId="0" borderId="61" xfId="4" applyNumberFormat="1" applyFont="1" applyFill="1" applyBorder="1" applyAlignment="1" applyProtection="1"/>
    <xf numFmtId="2" fontId="46" fillId="0" borderId="61" xfId="0" applyNumberFormat="1" applyFont="1" applyFill="1" applyBorder="1"/>
    <xf numFmtId="9" fontId="46" fillId="0" borderId="92" xfId="0" applyNumberFormat="1" applyFont="1" applyBorder="1"/>
    <xf numFmtId="166" fontId="47" fillId="0" borderId="22" xfId="0" applyNumberFormat="1" applyFont="1" applyFill="1" applyBorder="1" applyAlignment="1">
      <alignment horizontal="center"/>
    </xf>
    <xf numFmtId="10" fontId="46" fillId="0" borderId="83" xfId="4" applyNumberFormat="1" applyFont="1" applyFill="1" applyBorder="1" applyAlignment="1" applyProtection="1"/>
    <xf numFmtId="14" fontId="0" fillId="0" borderId="0" xfId="0" applyNumberFormat="1" applyFont="1" applyFill="1"/>
    <xf numFmtId="166" fontId="11" fillId="0" borderId="25" xfId="0" applyNumberFormat="1" applyFont="1" applyBorder="1" applyAlignment="1">
      <alignment horizontal="left"/>
    </xf>
    <xf numFmtId="169" fontId="12" fillId="3" borderId="65" xfId="0" applyNumberFormat="1" applyFont="1" applyFill="1" applyBorder="1" applyAlignment="1">
      <alignment horizontal="center"/>
    </xf>
    <xf numFmtId="9" fontId="12" fillId="3" borderId="65" xfId="0" applyNumberFormat="1" applyFont="1" applyFill="1" applyBorder="1" applyAlignment="1">
      <alignment horizontal="center"/>
    </xf>
    <xf numFmtId="0" fontId="12" fillId="3" borderId="65" xfId="0" applyFont="1" applyFill="1" applyBorder="1" applyAlignment="1">
      <alignment horizontal="center"/>
    </xf>
    <xf numFmtId="169" fontId="0" fillId="0" borderId="0" xfId="0" applyNumberFormat="1" applyBorder="1" applyAlignment="1">
      <alignment horizontal="center"/>
    </xf>
    <xf numFmtId="9" fontId="0" fillId="0" borderId="0" xfId="0" applyNumberFormat="1" applyBorder="1" applyAlignment="1">
      <alignment horizontal="center"/>
    </xf>
    <xf numFmtId="0" fontId="0" fillId="0" borderId="0" xfId="0" applyBorder="1" applyAlignment="1">
      <alignment horizontal="center"/>
    </xf>
    <xf numFmtId="0" fontId="12" fillId="3" borderId="65" xfId="0" applyFont="1" applyFill="1" applyBorder="1"/>
    <xf numFmtId="166" fontId="11" fillId="0" borderId="0" xfId="0" applyNumberFormat="1" applyFont="1" applyFill="1" applyBorder="1" applyAlignment="1">
      <alignment horizontal="left"/>
    </xf>
    <xf numFmtId="169" fontId="0" fillId="0" borderId="0" xfId="0" applyNumberFormat="1" applyFill="1" applyBorder="1" applyAlignment="1">
      <alignment horizontal="center"/>
    </xf>
    <xf numFmtId="9" fontId="0" fillId="0" borderId="0" xfId="0" applyNumberFormat="1" applyFill="1" applyBorder="1" applyAlignment="1">
      <alignment horizontal="center"/>
    </xf>
    <xf numFmtId="0" fontId="0" fillId="0" borderId="0" xfId="0" applyFill="1" applyBorder="1" applyAlignment="1">
      <alignment horizontal="center"/>
    </xf>
    <xf numFmtId="10" fontId="6" fillId="0" borderId="31" xfId="0" applyNumberFormat="1" applyFont="1" applyBorder="1" applyAlignment="1">
      <alignment horizontal="center"/>
    </xf>
    <xf numFmtId="10" fontId="6" fillId="0" borderId="67" xfId="0" applyNumberFormat="1" applyFont="1" applyBorder="1" applyAlignment="1">
      <alignment horizontal="center"/>
    </xf>
    <xf numFmtId="0" fontId="7" fillId="0" borderId="39" xfId="0" applyFont="1" applyBorder="1"/>
    <xf numFmtId="167" fontId="6" fillId="0" borderId="40" xfId="0" applyNumberFormat="1" applyFont="1" applyBorder="1" applyAlignment="1">
      <alignment horizontal="center"/>
    </xf>
    <xf numFmtId="10" fontId="6" fillId="0" borderId="40" xfId="0" applyNumberFormat="1" applyFont="1" applyBorder="1" applyAlignment="1">
      <alignment horizontal="center"/>
    </xf>
    <xf numFmtId="10" fontId="6" fillId="0" borderId="41" xfId="0" applyNumberFormat="1" applyFont="1" applyBorder="1" applyAlignment="1">
      <alignment horizontal="center"/>
    </xf>
    <xf numFmtId="164" fontId="6" fillId="0" borderId="31" xfId="0" applyNumberFormat="1" applyFont="1" applyBorder="1" applyAlignment="1">
      <alignment horizontal="center"/>
    </xf>
    <xf numFmtId="164" fontId="6" fillId="0" borderId="67" xfId="0" applyNumberFormat="1" applyFont="1" applyBorder="1" applyAlignment="1">
      <alignment horizontal="center"/>
    </xf>
    <xf numFmtId="164" fontId="12" fillId="3" borderId="104" xfId="0" applyNumberFormat="1" applyFont="1" applyFill="1" applyBorder="1" applyAlignment="1">
      <alignment horizontal="center"/>
    </xf>
    <xf numFmtId="164" fontId="6" fillId="0" borderId="29" xfId="0" applyNumberFormat="1" applyFont="1" applyBorder="1" applyAlignment="1">
      <alignment horizontal="center"/>
    </xf>
    <xf numFmtId="164" fontId="6" fillId="0" borderId="75" xfId="0" applyNumberFormat="1" applyFont="1" applyBorder="1" applyAlignment="1">
      <alignment horizontal="center"/>
    </xf>
    <xf numFmtId="164" fontId="6" fillId="0" borderId="22" xfId="0" applyNumberFormat="1" applyFont="1" applyBorder="1" applyAlignment="1">
      <alignment horizontal="center"/>
    </xf>
    <xf numFmtId="9" fontId="13" fillId="0" borderId="32" xfId="4" applyFont="1" applyFill="1" applyBorder="1" applyAlignment="1" applyProtection="1">
      <alignment horizontal="center"/>
    </xf>
    <xf numFmtId="164" fontId="6" fillId="0" borderId="32" xfId="0" applyNumberFormat="1" applyFont="1" applyBorder="1" applyAlignment="1">
      <alignment horizontal="center"/>
    </xf>
    <xf numFmtId="0" fontId="6" fillId="0" borderId="61" xfId="0" applyNumberFormat="1" applyFont="1" applyFill="1" applyBorder="1"/>
    <xf numFmtId="9" fontId="6" fillId="0" borderId="61" xfId="0" applyNumberFormat="1" applyFont="1" applyFill="1" applyBorder="1"/>
    <xf numFmtId="2" fontId="6" fillId="0" borderId="46" xfId="0" applyNumberFormat="1" applyFont="1" applyFill="1" applyBorder="1"/>
    <xf numFmtId="2" fontId="6" fillId="0" borderId="102" xfId="0" applyNumberFormat="1" applyFont="1" applyFill="1" applyBorder="1"/>
    <xf numFmtId="2" fontId="6" fillId="5" borderId="102" xfId="0" applyNumberFormat="1" applyFont="1" applyFill="1" applyBorder="1"/>
    <xf numFmtId="2" fontId="6" fillId="6" borderId="102" xfId="0" applyNumberFormat="1" applyFont="1" applyFill="1" applyBorder="1"/>
    <xf numFmtId="2" fontId="6" fillId="7" borderId="102" xfId="0" applyNumberFormat="1" applyFont="1" applyFill="1" applyBorder="1"/>
    <xf numFmtId="2" fontId="6" fillId="4" borderId="102" xfId="0" applyNumberFormat="1" applyFont="1" applyFill="1" applyBorder="1"/>
    <xf numFmtId="2" fontId="6" fillId="4" borderId="67" xfId="0" applyNumberFormat="1" applyFont="1" applyFill="1" applyBorder="1"/>
    <xf numFmtId="2" fontId="6" fillId="4" borderId="46" xfId="0" applyNumberFormat="1" applyFont="1" applyFill="1" applyBorder="1"/>
    <xf numFmtId="2" fontId="6" fillId="7" borderId="46" xfId="0" applyNumberFormat="1" applyFont="1" applyFill="1" applyBorder="1"/>
    <xf numFmtId="2" fontId="6" fillId="7" borderId="91" xfId="0" applyNumberFormat="1" applyFont="1" applyFill="1" applyBorder="1"/>
    <xf numFmtId="2" fontId="46" fillId="0" borderId="102" xfId="0" applyNumberFormat="1" applyFont="1" applyFill="1" applyBorder="1"/>
    <xf numFmtId="2" fontId="46" fillId="7" borderId="67" xfId="0" applyNumberFormat="1" applyFont="1" applyFill="1" applyBorder="1"/>
    <xf numFmtId="2" fontId="46" fillId="0" borderId="79" xfId="0" applyNumberFormat="1" applyFont="1" applyFill="1" applyBorder="1"/>
    <xf numFmtId="2" fontId="46" fillId="0" borderId="67" xfId="0" applyNumberFormat="1" applyFont="1" applyFill="1" applyBorder="1"/>
    <xf numFmtId="0" fontId="46" fillId="0" borderId="79" xfId="0" applyFont="1" applyBorder="1"/>
    <xf numFmtId="2" fontId="46" fillId="7" borderId="79" xfId="0" applyNumberFormat="1" applyFont="1" applyFill="1" applyBorder="1"/>
    <xf numFmtId="2" fontId="46" fillId="0" borderId="79" xfId="0" applyNumberFormat="1" applyFont="1" applyBorder="1"/>
    <xf numFmtId="2" fontId="46" fillId="0" borderId="67" xfId="0" applyNumberFormat="1" applyFont="1" applyBorder="1"/>
    <xf numFmtId="167" fontId="46" fillId="0" borderId="0" xfId="0" applyNumberFormat="1" applyFont="1"/>
    <xf numFmtId="2" fontId="46" fillId="0" borderId="0" xfId="0" applyNumberFormat="1" applyFont="1"/>
    <xf numFmtId="166" fontId="47" fillId="58" borderId="22" xfId="0" applyNumberFormat="1" applyFont="1" applyFill="1" applyBorder="1" applyAlignment="1">
      <alignment horizontal="center"/>
    </xf>
    <xf numFmtId="40" fontId="46" fillId="0" borderId="91" xfId="0" applyNumberFormat="1" applyFont="1" applyFill="1" applyBorder="1"/>
    <xf numFmtId="10" fontId="46" fillId="0" borderId="92" xfId="4" applyNumberFormat="1" applyFont="1" applyFill="1" applyBorder="1" applyAlignment="1" applyProtection="1"/>
    <xf numFmtId="166" fontId="47" fillId="0" borderId="49" xfId="0" applyNumberFormat="1" applyFont="1" applyFill="1" applyBorder="1" applyAlignment="1">
      <alignment horizontal="center"/>
    </xf>
    <xf numFmtId="2" fontId="46" fillId="0" borderId="91" xfId="0" applyNumberFormat="1" applyFont="1" applyFill="1" applyBorder="1"/>
    <xf numFmtId="167" fontId="46" fillId="0" borderId="65" xfId="0" applyNumberFormat="1" applyFont="1" applyFill="1" applyBorder="1"/>
    <xf numFmtId="167" fontId="46" fillId="0" borderId="60" xfId="0" applyNumberFormat="1" applyFont="1" applyFill="1" applyBorder="1"/>
    <xf numFmtId="167" fontId="46" fillId="58" borderId="65" xfId="0" applyNumberFormat="1" applyFont="1" applyFill="1" applyBorder="1"/>
    <xf numFmtId="167" fontId="46" fillId="58" borderId="31" xfId="0" applyNumberFormat="1" applyFont="1" applyFill="1" applyBorder="1"/>
    <xf numFmtId="3" fontId="46" fillId="58" borderId="31" xfId="0" applyNumberFormat="1" applyFont="1" applyFill="1" applyBorder="1"/>
    <xf numFmtId="164" fontId="46" fillId="58" borderId="31" xfId="0" applyNumberFormat="1" applyFont="1" applyFill="1" applyBorder="1"/>
    <xf numFmtId="9" fontId="46" fillId="58" borderId="31" xfId="4" applyFont="1" applyFill="1" applyBorder="1" applyAlignment="1" applyProtection="1"/>
    <xf numFmtId="167" fontId="46" fillId="58" borderId="31" xfId="4" applyNumberFormat="1" applyFont="1" applyFill="1" applyBorder="1" applyAlignment="1" applyProtection="1"/>
    <xf numFmtId="10" fontId="46" fillId="58" borderId="31" xfId="4" applyNumberFormat="1" applyFont="1" applyFill="1" applyBorder="1" applyAlignment="1" applyProtection="1"/>
    <xf numFmtId="164" fontId="46" fillId="58" borderId="31" xfId="4" applyNumberFormat="1" applyFont="1" applyFill="1" applyBorder="1" applyAlignment="1" applyProtection="1"/>
    <xf numFmtId="2" fontId="46" fillId="58" borderId="31" xfId="0" applyNumberFormat="1" applyFont="1" applyFill="1" applyBorder="1"/>
    <xf numFmtId="10" fontId="46" fillId="58" borderId="83" xfId="4" applyNumberFormat="1" applyFont="1" applyFill="1" applyBorder="1" applyAlignment="1" applyProtection="1"/>
    <xf numFmtId="0" fontId="7" fillId="0" borderId="31" xfId="0" applyFont="1" applyFill="1" applyBorder="1"/>
    <xf numFmtId="0" fontId="46" fillId="0" borderId="44" xfId="0" applyFont="1" applyFill="1" applyBorder="1"/>
    <xf numFmtId="2" fontId="46" fillId="0" borderId="45" xfId="0" applyNumberFormat="1" applyFont="1" applyFill="1" applyBorder="1"/>
    <xf numFmtId="0" fontId="46" fillId="0" borderId="46" xfId="0" applyFont="1" applyFill="1" applyBorder="1"/>
    <xf numFmtId="2" fontId="46" fillId="0" borderId="47" xfId="0" applyNumberFormat="1" applyFont="1" applyFill="1" applyBorder="1"/>
    <xf numFmtId="166" fontId="47" fillId="0" borderId="74" xfId="0" applyNumberFormat="1" applyFont="1" applyFill="1" applyBorder="1" applyAlignment="1">
      <alignment horizontal="center"/>
    </xf>
    <xf numFmtId="167" fontId="46" fillId="0" borderId="30" xfId="0" applyNumberFormat="1" applyFont="1" applyFill="1" applyBorder="1" applyAlignment="1">
      <alignment horizontal="right"/>
    </xf>
    <xf numFmtId="167" fontId="46" fillId="0" borderId="31" xfId="0" applyNumberFormat="1" applyFont="1" applyFill="1" applyBorder="1" applyAlignment="1">
      <alignment horizontal="right"/>
    </xf>
    <xf numFmtId="3" fontId="46" fillId="0" borderId="31" xfId="0" applyNumberFormat="1" applyFont="1" applyFill="1" applyBorder="1" applyAlignment="1">
      <alignment horizontal="right"/>
    </xf>
    <xf numFmtId="164" fontId="46" fillId="0" borderId="31" xfId="0" applyNumberFormat="1" applyFont="1" applyFill="1" applyBorder="1" applyAlignment="1">
      <alignment horizontal="right"/>
    </xf>
    <xf numFmtId="9" fontId="46" fillId="0" borderId="31" xfId="4" applyFont="1" applyFill="1" applyBorder="1" applyAlignment="1" applyProtection="1">
      <alignment horizontal="right"/>
    </xf>
    <xf numFmtId="167" fontId="46" fillId="0" borderId="31" xfId="4" applyNumberFormat="1" applyFont="1" applyFill="1" applyBorder="1" applyAlignment="1" applyProtection="1">
      <alignment horizontal="right"/>
    </xf>
    <xf numFmtId="10" fontId="46" fillId="0" borderId="31" xfId="4" applyNumberFormat="1" applyFont="1" applyFill="1" applyBorder="1" applyAlignment="1" applyProtection="1">
      <alignment horizontal="right"/>
    </xf>
    <xf numFmtId="164" fontId="46" fillId="0" borderId="31" xfId="4" applyNumberFormat="1" applyFont="1" applyFill="1" applyBorder="1" applyAlignment="1" applyProtection="1">
      <alignment horizontal="right"/>
    </xf>
    <xf numFmtId="2" fontId="46" fillId="0" borderId="31" xfId="0" applyNumberFormat="1" applyFont="1" applyFill="1" applyBorder="1" applyAlignment="1">
      <alignment horizontal="right"/>
    </xf>
    <xf numFmtId="40" fontId="46" fillId="0" borderId="67" xfId="0" applyNumberFormat="1" applyFont="1" applyFill="1" applyBorder="1" applyAlignment="1">
      <alignment horizontal="right"/>
    </xf>
    <xf numFmtId="10" fontId="46" fillId="0" borderId="83" xfId="4" applyNumberFormat="1" applyFont="1" applyFill="1" applyBorder="1" applyAlignment="1" applyProtection="1">
      <alignment horizontal="right"/>
    </xf>
    <xf numFmtId="9" fontId="6" fillId="0" borderId="31" xfId="0" applyNumberFormat="1" applyFont="1" applyFill="1" applyBorder="1"/>
    <xf numFmtId="9" fontId="6" fillId="0" borderId="83" xfId="4" applyFont="1" applyFill="1" applyBorder="1"/>
    <xf numFmtId="166" fontId="7" fillId="0" borderId="105" xfId="0" applyNumberFormat="1" applyFont="1" applyFill="1" applyBorder="1" applyAlignment="1">
      <alignment horizontal="center"/>
    </xf>
    <xf numFmtId="167" fontId="6" fillId="0" borderId="65" xfId="0" applyNumberFormat="1" applyFont="1" applyFill="1" applyBorder="1"/>
    <xf numFmtId="166" fontId="7" fillId="0" borderId="49" xfId="0" applyNumberFormat="1" applyFont="1" applyFill="1" applyBorder="1" applyAlignment="1">
      <alignment horizontal="center"/>
    </xf>
    <xf numFmtId="167" fontId="6" fillId="0" borderId="60" xfId="0" applyNumberFormat="1" applyFont="1" applyFill="1" applyBorder="1"/>
    <xf numFmtId="166" fontId="47" fillId="0" borderId="81" xfId="0" applyNumberFormat="1" applyFont="1" applyFill="1" applyBorder="1" applyAlignment="1">
      <alignment horizontal="center"/>
    </xf>
    <xf numFmtId="167" fontId="46" fillId="0" borderId="90" xfId="0" applyNumberFormat="1" applyFont="1" applyFill="1" applyBorder="1" applyAlignment="1">
      <alignment horizontal="right"/>
    </xf>
    <xf numFmtId="167" fontId="46" fillId="0" borderId="61" xfId="0" applyNumberFormat="1" applyFont="1" applyFill="1" applyBorder="1" applyAlignment="1">
      <alignment horizontal="right"/>
    </xf>
    <xf numFmtId="3" fontId="46" fillId="0" borderId="61" xfId="0" applyNumberFormat="1" applyFont="1" applyFill="1" applyBorder="1" applyAlignment="1">
      <alignment horizontal="right"/>
    </xf>
    <xf numFmtId="164" fontId="46" fillId="0" borderId="61" xfId="0" applyNumberFormat="1" applyFont="1" applyFill="1" applyBorder="1" applyAlignment="1">
      <alignment horizontal="right"/>
    </xf>
    <xf numFmtId="9" fontId="46" fillId="0" borderId="61" xfId="4" applyFont="1" applyFill="1" applyBorder="1" applyAlignment="1" applyProtection="1">
      <alignment horizontal="right"/>
    </xf>
    <xf numFmtId="167" fontId="46" fillId="0" borderId="61" xfId="4" applyNumberFormat="1" applyFont="1" applyFill="1" applyBorder="1" applyAlignment="1" applyProtection="1">
      <alignment horizontal="right"/>
    </xf>
    <xf numFmtId="10" fontId="46" fillId="0" borderId="61" xfId="4" applyNumberFormat="1" applyFont="1" applyFill="1" applyBorder="1" applyAlignment="1" applyProtection="1">
      <alignment horizontal="right"/>
    </xf>
    <xf numFmtId="164" fontId="46" fillId="0" borderId="61" xfId="4" applyNumberFormat="1" applyFont="1" applyFill="1" applyBorder="1" applyAlignment="1" applyProtection="1">
      <alignment horizontal="right"/>
    </xf>
    <xf numFmtId="2" fontId="46" fillId="0" borderId="61" xfId="0" applyNumberFormat="1" applyFont="1" applyFill="1" applyBorder="1" applyAlignment="1">
      <alignment horizontal="right"/>
    </xf>
    <xf numFmtId="40" fontId="46" fillId="0" borderId="91" xfId="0" applyNumberFormat="1" applyFont="1" applyFill="1" applyBorder="1" applyAlignment="1">
      <alignment horizontal="right"/>
    </xf>
    <xf numFmtId="10" fontId="46" fillId="0" borderId="92" xfId="4" applyNumberFormat="1" applyFont="1" applyFill="1" applyBorder="1" applyAlignment="1" applyProtection="1">
      <alignment horizontal="right"/>
    </xf>
    <xf numFmtId="0" fontId="6" fillId="0" borderId="31" xfId="0" applyNumberFormat="1" applyFont="1" applyFill="1" applyBorder="1"/>
    <xf numFmtId="40" fontId="6" fillId="0" borderId="31" xfId="0" applyNumberFormat="1" applyFont="1" applyFill="1" applyBorder="1"/>
    <xf numFmtId="164" fontId="46" fillId="0" borderId="0" xfId="0" applyNumberFormat="1" applyFont="1" applyFill="1"/>
    <xf numFmtId="10" fontId="13" fillId="0" borderId="22" xfId="4" applyNumberFormat="1" applyFont="1" applyFill="1" applyBorder="1" applyAlignment="1" applyProtection="1">
      <alignment horizontal="center"/>
    </xf>
    <xf numFmtId="166" fontId="7" fillId="58" borderId="22" xfId="0" applyNumberFormat="1" applyFont="1" applyFill="1" applyBorder="1" applyAlignment="1">
      <alignment horizontal="center"/>
    </xf>
    <xf numFmtId="167" fontId="6" fillId="58" borderId="65" xfId="0" applyNumberFormat="1" applyFont="1" applyFill="1" applyBorder="1"/>
    <xf numFmtId="167" fontId="6" fillId="58" borderId="31" xfId="0" applyNumberFormat="1" applyFont="1" applyFill="1" applyBorder="1"/>
    <xf numFmtId="0" fontId="6" fillId="59" borderId="31" xfId="0" applyNumberFormat="1" applyFont="1" applyFill="1" applyBorder="1"/>
    <xf numFmtId="164" fontId="6" fillId="58" borderId="31" xfId="0" applyNumberFormat="1" applyFont="1" applyFill="1" applyBorder="1"/>
    <xf numFmtId="9" fontId="6" fillId="58" borderId="31" xfId="4" applyFont="1" applyFill="1" applyBorder="1" applyAlignment="1" applyProtection="1"/>
    <xf numFmtId="9" fontId="6" fillId="58" borderId="31" xfId="0" applyNumberFormat="1" applyFont="1" applyFill="1" applyBorder="1"/>
    <xf numFmtId="2" fontId="6" fillId="58" borderId="31" xfId="0" applyNumberFormat="1" applyFont="1" applyFill="1" applyBorder="1"/>
    <xf numFmtId="40" fontId="6" fillId="58" borderId="31" xfId="0" applyNumberFormat="1" applyFont="1" applyFill="1" applyBorder="1"/>
    <xf numFmtId="9" fontId="6" fillId="59" borderId="83" xfId="4" applyFont="1" applyFill="1" applyBorder="1"/>
    <xf numFmtId="0" fontId="26" fillId="0" borderId="0" xfId="0" applyFont="1" applyAlignment="1">
      <alignment horizontal="left"/>
    </xf>
    <xf numFmtId="10" fontId="52" fillId="49" borderId="37" xfId="0" applyNumberFormat="1" applyFont="1" applyFill="1" applyBorder="1" applyAlignment="1">
      <alignment horizontal="center" vertical="center"/>
    </xf>
    <xf numFmtId="0" fontId="18" fillId="0" borderId="0" xfId="0" applyFont="1" applyBorder="1" applyAlignment="1">
      <alignment horizontal="left" wrapText="1"/>
    </xf>
    <xf numFmtId="0" fontId="0" fillId="0" borderId="0" xfId="0" applyBorder="1" applyAlignment="1">
      <alignment horizontal="left" wrapText="1"/>
    </xf>
    <xf numFmtId="0" fontId="19" fillId="0" borderId="0" xfId="0" applyFont="1" applyBorder="1" applyAlignment="1">
      <alignment horizontal="left" wrapText="1"/>
    </xf>
    <xf numFmtId="0" fontId="17" fillId="0" borderId="0" xfId="0" applyFont="1" applyBorder="1" applyAlignment="1">
      <alignment horizontal="left" wrapText="1"/>
    </xf>
    <xf numFmtId="0" fontId="26" fillId="0" borderId="0" xfId="0" applyFont="1" applyAlignment="1">
      <alignment horizontal="left"/>
    </xf>
    <xf numFmtId="0" fontId="26" fillId="0" borderId="0" xfId="0" applyFont="1" applyAlignment="1">
      <alignment horizontal="left"/>
    </xf>
    <xf numFmtId="167" fontId="46" fillId="56" borderId="99" xfId="0" applyNumberFormat="1" applyFont="1" applyFill="1" applyBorder="1" applyAlignment="1">
      <alignment horizontal="right"/>
    </xf>
    <xf numFmtId="167" fontId="46" fillId="56" borderId="48" xfId="0" applyNumberFormat="1" applyFont="1" applyFill="1" applyBorder="1" applyAlignment="1">
      <alignment horizontal="right"/>
    </xf>
    <xf numFmtId="3" fontId="46" fillId="56" borderId="48" xfId="0" applyNumberFormat="1" applyFont="1" applyFill="1" applyBorder="1" applyAlignment="1">
      <alignment horizontal="right"/>
    </xf>
    <xf numFmtId="164" fontId="46" fillId="57" borderId="48" xfId="0" applyNumberFormat="1" applyFont="1" applyFill="1" applyBorder="1" applyAlignment="1">
      <alignment horizontal="right"/>
    </xf>
    <xf numFmtId="164" fontId="46" fillId="56" borderId="48" xfId="0" applyNumberFormat="1" applyFont="1" applyFill="1" applyBorder="1" applyAlignment="1">
      <alignment horizontal="right"/>
    </xf>
    <xf numFmtId="9" fontId="46" fillId="57" borderId="48" xfId="4" applyFont="1" applyFill="1" applyBorder="1" applyAlignment="1" applyProtection="1">
      <alignment horizontal="right"/>
    </xf>
    <xf numFmtId="167" fontId="46" fillId="57" borderId="48" xfId="4" applyNumberFormat="1" applyFont="1" applyFill="1" applyBorder="1" applyAlignment="1" applyProtection="1">
      <alignment horizontal="right"/>
    </xf>
    <xf numFmtId="10" fontId="46" fillId="57" borderId="48" xfId="4" applyNumberFormat="1" applyFont="1" applyFill="1" applyBorder="1" applyAlignment="1" applyProtection="1">
      <alignment horizontal="right"/>
    </xf>
    <xf numFmtId="164" fontId="46" fillId="57" borderId="48" xfId="4" applyNumberFormat="1" applyFont="1" applyFill="1" applyBorder="1" applyAlignment="1" applyProtection="1">
      <alignment horizontal="right"/>
    </xf>
    <xf numFmtId="2" fontId="46" fillId="57" borderId="48" xfId="0" applyNumberFormat="1" applyFont="1" applyFill="1" applyBorder="1" applyAlignment="1">
      <alignment horizontal="right"/>
    </xf>
    <xf numFmtId="40" fontId="46" fillId="57" borderId="79" xfId="0" applyNumberFormat="1" applyFont="1" applyFill="1" applyBorder="1" applyAlignment="1">
      <alignment horizontal="right"/>
    </xf>
    <xf numFmtId="10" fontId="46" fillId="57" borderId="101" xfId="4" applyNumberFormat="1" applyFont="1" applyFill="1" applyBorder="1" applyAlignment="1" applyProtection="1">
      <alignment horizontal="right"/>
    </xf>
    <xf numFmtId="40" fontId="46" fillId="0" borderId="31" xfId="0" applyNumberFormat="1" applyFont="1" applyFill="1" applyBorder="1" applyAlignment="1">
      <alignment horizontal="right"/>
    </xf>
    <xf numFmtId="167" fontId="46" fillId="0" borderId="65" xfId="0" applyNumberFormat="1" applyFont="1" applyFill="1" applyBorder="1" applyAlignment="1">
      <alignment horizontal="right"/>
    </xf>
    <xf numFmtId="3" fontId="46" fillId="0" borderId="0" xfId="0" applyNumberFormat="1" applyFont="1"/>
    <xf numFmtId="0" fontId="26" fillId="0" borderId="0" xfId="0" applyFont="1" applyAlignment="1">
      <alignment horizontal="left"/>
    </xf>
    <xf numFmtId="164" fontId="53" fillId="0" borderId="37" xfId="0" applyNumberFormat="1" applyFont="1" applyBorder="1" applyAlignment="1">
      <alignment horizontal="center" vertical="center"/>
    </xf>
    <xf numFmtId="0" fontId="53" fillId="6" borderId="37" xfId="0" applyNumberFormat="1" applyFont="1" applyFill="1" applyBorder="1" applyAlignment="1">
      <alignment horizontal="center" vertical="center"/>
    </xf>
    <xf numFmtId="38" fontId="53" fillId="0" borderId="37" xfId="0" applyNumberFormat="1" applyFont="1" applyBorder="1" applyAlignment="1">
      <alignment horizontal="center" vertical="center"/>
    </xf>
    <xf numFmtId="10" fontId="53" fillId="49" borderId="37" xfId="0" applyNumberFormat="1" applyFont="1" applyFill="1" applyBorder="1" applyAlignment="1">
      <alignment horizontal="center" vertical="center"/>
    </xf>
    <xf numFmtId="10" fontId="53" fillId="8" borderId="45" xfId="0" applyNumberFormat="1" applyFont="1" applyFill="1" applyBorder="1" applyAlignment="1">
      <alignment horizontal="center" vertical="center"/>
    </xf>
    <xf numFmtId="164" fontId="53" fillId="0" borderId="102" xfId="0" applyNumberFormat="1" applyFont="1" applyBorder="1" applyAlignment="1">
      <alignment horizontal="center" vertical="center"/>
    </xf>
    <xf numFmtId="0" fontId="53" fillId="6" borderId="102" xfId="0" applyNumberFormat="1" applyFont="1" applyFill="1" applyBorder="1" applyAlignment="1">
      <alignment horizontal="center" vertical="center"/>
    </xf>
    <xf numFmtId="38" fontId="53" fillId="0" borderId="102" xfId="0" applyNumberFormat="1" applyFont="1" applyBorder="1" applyAlignment="1">
      <alignment horizontal="center" vertical="center"/>
    </xf>
    <xf numFmtId="10" fontId="53" fillId="49" borderId="102" xfId="0" applyNumberFormat="1" applyFont="1" applyFill="1" applyBorder="1" applyAlignment="1">
      <alignment horizontal="center" vertical="center"/>
    </xf>
    <xf numFmtId="10" fontId="53" fillId="8" borderId="47" xfId="0" applyNumberFormat="1" applyFont="1" applyFill="1" applyBorder="1" applyAlignment="1">
      <alignment horizontal="center" vertical="center"/>
    </xf>
    <xf numFmtId="167" fontId="6" fillId="7" borderId="65" xfId="0" applyNumberFormat="1" applyFont="1" applyFill="1" applyBorder="1"/>
    <xf numFmtId="0" fontId="6" fillId="6" borderId="31" xfId="0" applyNumberFormat="1" applyFont="1" applyFill="1" applyBorder="1"/>
    <xf numFmtId="9" fontId="6" fillId="7" borderId="31" xfId="0" applyNumberFormat="1" applyFont="1" applyFill="1" applyBorder="1"/>
    <xf numFmtId="40" fontId="6" fillId="7" borderId="31" xfId="0" applyNumberFormat="1" applyFont="1" applyFill="1" applyBorder="1"/>
    <xf numFmtId="9" fontId="6" fillId="6" borderId="83" xfId="4" applyFont="1" applyFill="1" applyBorder="1"/>
    <xf numFmtId="0" fontId="54" fillId="0" borderId="46" xfId="0" applyFont="1" applyBorder="1" applyAlignment="1">
      <alignment horizontal="center" vertical="center"/>
    </xf>
    <xf numFmtId="0" fontId="54" fillId="0" borderId="79" xfId="0" applyFont="1" applyBorder="1" applyAlignment="1">
      <alignment horizontal="center" vertical="center"/>
    </xf>
    <xf numFmtId="166" fontId="47" fillId="57" borderId="32" xfId="0" applyNumberFormat="1" applyFont="1" applyFill="1" applyBorder="1" applyAlignment="1">
      <alignment horizontal="center"/>
    </xf>
    <xf numFmtId="0" fontId="26" fillId="0" borderId="0" xfId="0" applyFont="1" applyAlignment="1">
      <alignment horizontal="left"/>
    </xf>
    <xf numFmtId="164" fontId="55" fillId="0" borderId="37" xfId="0" applyNumberFormat="1" applyFont="1" applyBorder="1" applyAlignment="1">
      <alignment horizontal="center" vertical="center"/>
    </xf>
    <xf numFmtId="1" fontId="55" fillId="0" borderId="37" xfId="0" applyNumberFormat="1" applyFont="1" applyBorder="1" applyAlignment="1">
      <alignment horizontal="center" vertical="center"/>
    </xf>
    <xf numFmtId="164" fontId="55" fillId="0" borderId="102" xfId="0" applyNumberFormat="1" applyFont="1" applyBorder="1" applyAlignment="1">
      <alignment horizontal="center" vertical="center"/>
    </xf>
    <xf numFmtId="1" fontId="55" fillId="0" borderId="102" xfId="0" applyNumberFormat="1" applyFont="1" applyBorder="1" applyAlignment="1">
      <alignment horizontal="center" vertical="center"/>
    </xf>
    <xf numFmtId="0" fontId="56" fillId="0" borderId="79" xfId="0" applyFont="1" applyBorder="1" applyAlignment="1">
      <alignment horizontal="center" vertical="center"/>
    </xf>
    <xf numFmtId="0" fontId="56" fillId="0" borderId="46" xfId="0" applyFont="1" applyBorder="1" applyAlignment="1">
      <alignment horizontal="center" vertical="center"/>
    </xf>
    <xf numFmtId="164" fontId="57" fillId="0" borderId="37" xfId="0" applyNumberFormat="1" applyFont="1" applyBorder="1" applyAlignment="1">
      <alignment horizontal="center" vertical="center"/>
    </xf>
    <xf numFmtId="0" fontId="57" fillId="0" borderId="37" xfId="0" applyNumberFormat="1" applyFont="1" applyBorder="1" applyAlignment="1">
      <alignment horizontal="center" vertical="center"/>
    </xf>
    <xf numFmtId="10" fontId="57" fillId="0" borderId="37" xfId="0" applyNumberFormat="1" applyFont="1" applyBorder="1" applyAlignment="1">
      <alignment horizontal="center" vertical="center"/>
    </xf>
    <xf numFmtId="0" fontId="57" fillId="0" borderId="37" xfId="0" applyFont="1" applyBorder="1" applyAlignment="1">
      <alignment horizontal="center" vertical="center"/>
    </xf>
    <xf numFmtId="2" fontId="57" fillId="0" borderId="37" xfId="0" applyNumberFormat="1" applyFont="1" applyBorder="1" applyAlignment="1">
      <alignment horizontal="center" vertical="center"/>
    </xf>
    <xf numFmtId="171" fontId="57" fillId="0" borderId="37" xfId="0" applyNumberFormat="1" applyFont="1" applyBorder="1" applyAlignment="1">
      <alignment horizontal="center" vertical="center"/>
    </xf>
    <xf numFmtId="164" fontId="57" fillId="52" borderId="37" xfId="0" applyNumberFormat="1" applyFont="1" applyFill="1" applyBorder="1" applyAlignment="1">
      <alignment horizontal="center" vertical="center"/>
    </xf>
    <xf numFmtId="0" fontId="57" fillId="0" borderId="37" xfId="0" pivotButton="1" applyFont="1" applyBorder="1" applyAlignment="1">
      <alignment horizontal="center" vertical="center" wrapText="1"/>
    </xf>
    <xf numFmtId="164" fontId="57" fillId="0" borderId="37" xfId="0" applyNumberFormat="1" applyFont="1" applyBorder="1" applyAlignment="1">
      <alignment horizontal="center" vertical="center" wrapText="1"/>
    </xf>
    <xf numFmtId="0" fontId="57" fillId="0" borderId="37" xfId="0" applyNumberFormat="1" applyFont="1" applyBorder="1" applyAlignment="1">
      <alignment horizontal="center" vertical="center" wrapText="1"/>
    </xf>
    <xf numFmtId="10" fontId="57" fillId="0" borderId="37" xfId="0" applyNumberFormat="1" applyFont="1" applyBorder="1" applyAlignment="1">
      <alignment horizontal="center" vertical="center" wrapText="1"/>
    </xf>
    <xf numFmtId="164" fontId="57" fillId="55" borderId="37" xfId="0" applyNumberFormat="1" applyFont="1" applyFill="1" applyBorder="1" applyAlignment="1">
      <alignment horizontal="center" vertical="center" wrapText="1"/>
    </xf>
    <xf numFmtId="10" fontId="57" fillId="55" borderId="37" xfId="0" applyNumberFormat="1" applyFont="1" applyFill="1" applyBorder="1" applyAlignment="1">
      <alignment horizontal="center" vertical="center" wrapText="1"/>
    </xf>
    <xf numFmtId="0" fontId="57" fillId="52" borderId="37" xfId="0" applyFont="1" applyFill="1" applyBorder="1" applyAlignment="1">
      <alignment horizontal="center" vertical="center" wrapText="1"/>
    </xf>
    <xf numFmtId="2" fontId="57" fillId="0" borderId="37" xfId="0" applyNumberFormat="1" applyFont="1" applyBorder="1" applyAlignment="1">
      <alignment horizontal="center" vertical="center" wrapText="1"/>
    </xf>
    <xf numFmtId="164" fontId="57" fillId="51" borderId="37" xfId="0" applyNumberFormat="1" applyFont="1" applyFill="1" applyBorder="1" applyAlignment="1">
      <alignment horizontal="center" vertical="center"/>
    </xf>
    <xf numFmtId="10" fontId="57" fillId="51" borderId="37" xfId="0" applyNumberFormat="1" applyFont="1" applyFill="1" applyBorder="1" applyAlignment="1">
      <alignment horizontal="center" vertical="center"/>
    </xf>
    <xf numFmtId="0" fontId="19" fillId="0" borderId="45" xfId="0" applyFont="1" applyBorder="1" applyAlignment="1">
      <alignment horizontal="left" wrapText="1"/>
    </xf>
    <xf numFmtId="0" fontId="19" fillId="0" borderId="48" xfId="0" applyFont="1" applyBorder="1" applyAlignment="1">
      <alignment horizontal="left" wrapText="1"/>
    </xf>
    <xf numFmtId="0" fontId="19" fillId="0" borderId="44" xfId="0" applyFont="1" applyBorder="1" applyAlignment="1">
      <alignment horizontal="left" wrapText="1"/>
    </xf>
    <xf numFmtId="0" fontId="18" fillId="0" borderId="45" xfId="0" applyFont="1" applyBorder="1" applyAlignment="1">
      <alignment horizontal="left" wrapText="1"/>
    </xf>
    <xf numFmtId="0" fontId="18" fillId="0" borderId="48" xfId="0" applyFont="1" applyBorder="1" applyAlignment="1">
      <alignment horizontal="left" wrapText="1"/>
    </xf>
    <xf numFmtId="0" fontId="18" fillId="0" borderId="44" xfId="0" applyFont="1" applyBorder="1" applyAlignment="1">
      <alignment horizontal="left" wrapText="1"/>
    </xf>
    <xf numFmtId="0" fontId="26" fillId="0" borderId="0" xfId="0" applyFont="1" applyAlignment="1">
      <alignment horizontal="left" wrapText="1"/>
    </xf>
    <xf numFmtId="0" fontId="26" fillId="0" borderId="0" xfId="0" applyFont="1" applyAlignment="1">
      <alignment horizontal="left"/>
    </xf>
    <xf numFmtId="0" fontId="18" fillId="0" borderId="37" xfId="0" applyFont="1" applyBorder="1" applyAlignment="1">
      <alignment horizontal="left" wrapText="1"/>
    </xf>
    <xf numFmtId="0" fontId="0" fillId="0" borderId="48" xfId="0" applyBorder="1" applyAlignment="1">
      <alignment horizontal="left" wrapText="1"/>
    </xf>
    <xf numFmtId="0" fontId="0" fillId="0" borderId="44" xfId="0" applyBorder="1" applyAlignment="1">
      <alignment horizontal="left" wrapText="1"/>
    </xf>
    <xf numFmtId="0" fontId="17" fillId="0" borderId="45" xfId="0" applyFont="1" applyBorder="1" applyAlignment="1">
      <alignment horizontal="left" wrapText="1"/>
    </xf>
    <xf numFmtId="0" fontId="17" fillId="0" borderId="48" xfId="0" applyFont="1" applyBorder="1" applyAlignment="1">
      <alignment horizontal="left" wrapText="1"/>
    </xf>
    <xf numFmtId="0" fontId="17" fillId="0" borderId="44" xfId="0" applyFont="1" applyBorder="1" applyAlignment="1">
      <alignment horizontal="left" wrapText="1"/>
    </xf>
    <xf numFmtId="0" fontId="24" fillId="10" borderId="74" xfId="0" applyFont="1" applyFill="1" applyBorder="1" applyAlignment="1">
      <alignment horizontal="center" vertical="center"/>
    </xf>
    <xf numFmtId="0" fontId="24" fillId="10" borderId="69" xfId="0" applyFont="1" applyFill="1" applyBorder="1" applyAlignment="1">
      <alignment horizontal="center" vertical="center"/>
    </xf>
    <xf numFmtId="0" fontId="24" fillId="45" borderId="49" xfId="0" applyFont="1" applyFill="1" applyBorder="1" applyAlignment="1">
      <alignment horizontal="center" vertical="center"/>
    </xf>
    <xf numFmtId="0" fontId="24" fillId="45" borderId="50" xfId="0" applyFont="1" applyFill="1" applyBorder="1" applyAlignment="1">
      <alignment horizontal="center" vertical="center"/>
    </xf>
    <xf numFmtId="0" fontId="24" fillId="45" borderId="32" xfId="0" applyFont="1" applyFill="1" applyBorder="1" applyAlignment="1">
      <alignment horizontal="center" vertical="center"/>
    </xf>
    <xf numFmtId="0" fontId="24" fillId="46" borderId="49" xfId="0" applyFont="1" applyFill="1" applyBorder="1" applyAlignment="1">
      <alignment horizontal="center" vertical="center"/>
    </xf>
    <xf numFmtId="0" fontId="24" fillId="46" borderId="50" xfId="0" applyFont="1" applyFill="1" applyBorder="1" applyAlignment="1">
      <alignment horizontal="center" vertical="center"/>
    </xf>
    <xf numFmtId="0" fontId="24" fillId="46" borderId="32" xfId="0" applyFont="1" applyFill="1" applyBorder="1" applyAlignment="1">
      <alignment horizontal="center" vertical="center"/>
    </xf>
    <xf numFmtId="0" fontId="24" fillId="8" borderId="49"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2" xfId="0" applyFont="1" applyFill="1" applyBorder="1" applyAlignment="1">
      <alignment horizontal="center" vertical="center"/>
    </xf>
    <xf numFmtId="0" fontId="24" fillId="9" borderId="49" xfId="0" applyFont="1" applyFill="1" applyBorder="1" applyAlignment="1">
      <alignment horizontal="center" vertical="center"/>
    </xf>
    <xf numFmtId="0" fontId="24" fillId="9" borderId="50" xfId="0" applyFont="1" applyFill="1" applyBorder="1" applyAlignment="1">
      <alignment horizontal="center" vertical="center"/>
    </xf>
    <xf numFmtId="0" fontId="24" fillId="9" borderId="32" xfId="0" applyFont="1" applyFill="1" applyBorder="1" applyAlignment="1">
      <alignment horizontal="center" vertical="center"/>
    </xf>
    <xf numFmtId="0" fontId="24" fillId="43" borderId="49" xfId="0" applyFont="1" applyFill="1" applyBorder="1" applyAlignment="1">
      <alignment horizontal="center" vertical="center"/>
    </xf>
    <xf numFmtId="0" fontId="24" fillId="43" borderId="50" xfId="0" applyFont="1" applyFill="1" applyBorder="1" applyAlignment="1">
      <alignment horizontal="center" vertical="center"/>
    </xf>
    <xf numFmtId="0" fontId="24" fillId="43" borderId="32" xfId="0" applyFont="1" applyFill="1" applyBorder="1" applyAlignment="1">
      <alignment horizontal="center" vertical="center"/>
    </xf>
    <xf numFmtId="0" fontId="24" fillId="47" borderId="49" xfId="0" applyFont="1" applyFill="1" applyBorder="1" applyAlignment="1">
      <alignment horizontal="center" vertical="center"/>
    </xf>
    <xf numFmtId="0" fontId="24" fillId="47" borderId="50" xfId="0" applyFont="1" applyFill="1" applyBorder="1" applyAlignment="1">
      <alignment horizontal="center" vertical="center"/>
    </xf>
    <xf numFmtId="0" fontId="24" fillId="47" borderId="32" xfId="0" applyFont="1" applyFill="1" applyBorder="1" applyAlignment="1">
      <alignment horizontal="center" vertical="center"/>
    </xf>
    <xf numFmtId="0" fontId="24" fillId="48" borderId="49" xfId="0" applyFont="1" applyFill="1" applyBorder="1" applyAlignment="1">
      <alignment horizontal="center" vertical="center"/>
    </xf>
    <xf numFmtId="0" fontId="24" fillId="48" borderId="50" xfId="0" applyFont="1" applyFill="1" applyBorder="1" applyAlignment="1">
      <alignment horizontal="center" vertical="center"/>
    </xf>
    <xf numFmtId="0" fontId="24" fillId="48" borderId="32" xfId="0" applyFont="1" applyFill="1" applyBorder="1" applyAlignment="1">
      <alignment horizontal="center" vertical="center"/>
    </xf>
    <xf numFmtId="0" fontId="49" fillId="0" borderId="45" xfId="0" applyFont="1" applyBorder="1" applyAlignment="1">
      <alignment horizontal="left" wrapText="1"/>
    </xf>
    <xf numFmtId="0" fontId="49" fillId="0" borderId="48" xfId="0" applyFont="1" applyBorder="1" applyAlignment="1">
      <alignment horizontal="left" wrapText="1"/>
    </xf>
    <xf numFmtId="0" fontId="49" fillId="0" borderId="44" xfId="0" applyFont="1" applyBorder="1" applyAlignment="1">
      <alignment horizontal="left" wrapText="1"/>
    </xf>
    <xf numFmtId="0" fontId="50" fillId="0" borderId="45" xfId="0" applyFont="1" applyBorder="1" applyAlignment="1">
      <alignment horizontal="left" wrapText="1"/>
    </xf>
    <xf numFmtId="0" fontId="50" fillId="0" borderId="48" xfId="0" applyFont="1" applyBorder="1" applyAlignment="1">
      <alignment horizontal="left" wrapText="1"/>
    </xf>
    <xf numFmtId="0" fontId="50" fillId="0" borderId="44" xfId="0" applyFont="1" applyBorder="1" applyAlignment="1">
      <alignment horizontal="left" wrapText="1"/>
    </xf>
    <xf numFmtId="0" fontId="46" fillId="0" borderId="45" xfId="0" applyFont="1" applyBorder="1" applyAlignment="1">
      <alignment horizontal="left" wrapText="1"/>
    </xf>
    <xf numFmtId="0" fontId="46" fillId="0" borderId="48" xfId="0" applyFont="1" applyBorder="1" applyAlignment="1">
      <alignment horizontal="left" wrapText="1"/>
    </xf>
    <xf numFmtId="0" fontId="46" fillId="0" borderId="44" xfId="0" applyFont="1" applyBorder="1" applyAlignment="1">
      <alignment horizontal="left" wrapText="1"/>
    </xf>
    <xf numFmtId="0" fontId="48" fillId="0" borderId="0" xfId="0" applyFont="1" applyAlignment="1">
      <alignment horizontal="left" wrapText="1"/>
    </xf>
    <xf numFmtId="0" fontId="48" fillId="0" borderId="0" xfId="0" applyFont="1" applyAlignment="1">
      <alignment horizontal="left"/>
    </xf>
    <xf numFmtId="0" fontId="46" fillId="0" borderId="37" xfId="0" applyFont="1" applyBorder="1" applyAlignment="1">
      <alignment horizontal="left" wrapText="1"/>
    </xf>
  </cellXfs>
  <cellStyles count="163">
    <cellStyle name="20% - Accent1" xfId="23" builtinId="30" customBuiltin="1"/>
    <cellStyle name="20% - Accent1 2" xfId="51"/>
    <cellStyle name="20% - Accent1 2 2" xfId="85"/>
    <cellStyle name="20% - Accent1 2 2 2" xfId="151"/>
    <cellStyle name="20% - Accent1 2 3" xfId="119"/>
    <cellStyle name="20% - Accent1 3" xfId="64"/>
    <cellStyle name="20% - Accent1 3 2" xfId="132"/>
    <cellStyle name="20% - Accent1 4" xfId="98"/>
    <cellStyle name="20% - Accent2" xfId="27" builtinId="34" customBuiltin="1"/>
    <cellStyle name="20% - Accent2 2" xfId="53"/>
    <cellStyle name="20% - Accent2 2 2" xfId="87"/>
    <cellStyle name="20% - Accent2 2 2 2" xfId="153"/>
    <cellStyle name="20% - Accent2 2 3" xfId="121"/>
    <cellStyle name="20% - Accent2 3" xfId="66"/>
    <cellStyle name="20% - Accent2 3 2" xfId="134"/>
    <cellStyle name="20% - Accent2 4" xfId="100"/>
    <cellStyle name="20% - Accent3" xfId="31" builtinId="38" customBuiltin="1"/>
    <cellStyle name="20% - Accent3 2" xfId="55"/>
    <cellStyle name="20% - Accent3 2 2" xfId="89"/>
    <cellStyle name="20% - Accent3 2 2 2" xfId="155"/>
    <cellStyle name="20% - Accent3 2 3" xfId="123"/>
    <cellStyle name="20% - Accent3 3" xfId="68"/>
    <cellStyle name="20% - Accent3 3 2" xfId="136"/>
    <cellStyle name="20% - Accent3 4" xfId="102"/>
    <cellStyle name="20% - Accent4" xfId="35" builtinId="42" customBuiltin="1"/>
    <cellStyle name="20% - Accent4 2" xfId="57"/>
    <cellStyle name="20% - Accent4 2 2" xfId="91"/>
    <cellStyle name="20% - Accent4 2 2 2" xfId="157"/>
    <cellStyle name="20% - Accent4 2 3" xfId="125"/>
    <cellStyle name="20% - Accent4 3" xfId="70"/>
    <cellStyle name="20% - Accent4 3 2" xfId="138"/>
    <cellStyle name="20% - Accent4 4" xfId="104"/>
    <cellStyle name="20% - Accent5" xfId="39" builtinId="46" customBuiltin="1"/>
    <cellStyle name="20% - Accent5 2" xfId="59"/>
    <cellStyle name="20% - Accent5 2 2" xfId="93"/>
    <cellStyle name="20% - Accent5 2 2 2" xfId="159"/>
    <cellStyle name="20% - Accent5 2 3" xfId="127"/>
    <cellStyle name="20% - Accent5 3" xfId="72"/>
    <cellStyle name="20% - Accent5 3 2" xfId="140"/>
    <cellStyle name="20% - Accent5 4" xfId="106"/>
    <cellStyle name="20% - Accent6" xfId="43" builtinId="50" customBuiltin="1"/>
    <cellStyle name="20% - Accent6 2" xfId="61"/>
    <cellStyle name="20% - Accent6 2 2" xfId="95"/>
    <cellStyle name="20% - Accent6 2 2 2" xfId="161"/>
    <cellStyle name="20% - Accent6 2 3" xfId="129"/>
    <cellStyle name="20% - Accent6 3" xfId="74"/>
    <cellStyle name="20% - Accent6 3 2" xfId="142"/>
    <cellStyle name="20% - Accent6 4" xfId="108"/>
    <cellStyle name="40% - Accent1" xfId="24" builtinId="31" customBuiltin="1"/>
    <cellStyle name="40% - Accent1 2" xfId="52"/>
    <cellStyle name="40% - Accent1 2 2" xfId="86"/>
    <cellStyle name="40% - Accent1 2 2 2" xfId="152"/>
    <cellStyle name="40% - Accent1 2 3" xfId="120"/>
    <cellStyle name="40% - Accent1 3" xfId="65"/>
    <cellStyle name="40% - Accent1 3 2" xfId="133"/>
    <cellStyle name="40% - Accent1 4" xfId="99"/>
    <cellStyle name="40% - Accent2" xfId="28" builtinId="35" customBuiltin="1"/>
    <cellStyle name="40% - Accent2 2" xfId="54"/>
    <cellStyle name="40% - Accent2 2 2" xfId="88"/>
    <cellStyle name="40% - Accent2 2 2 2" xfId="154"/>
    <cellStyle name="40% - Accent2 2 3" xfId="122"/>
    <cellStyle name="40% - Accent2 3" xfId="67"/>
    <cellStyle name="40% - Accent2 3 2" xfId="135"/>
    <cellStyle name="40% - Accent2 4" xfId="101"/>
    <cellStyle name="40% - Accent3" xfId="32" builtinId="39" customBuiltin="1"/>
    <cellStyle name="40% - Accent3 2" xfId="56"/>
    <cellStyle name="40% - Accent3 2 2" xfId="90"/>
    <cellStyle name="40% - Accent3 2 2 2" xfId="156"/>
    <cellStyle name="40% - Accent3 2 3" xfId="124"/>
    <cellStyle name="40% - Accent3 3" xfId="69"/>
    <cellStyle name="40% - Accent3 3 2" xfId="137"/>
    <cellStyle name="40% - Accent3 4" xfId="103"/>
    <cellStyle name="40% - Accent4" xfId="36" builtinId="43" customBuiltin="1"/>
    <cellStyle name="40% - Accent4 2" xfId="58"/>
    <cellStyle name="40% - Accent4 2 2" xfId="92"/>
    <cellStyle name="40% - Accent4 2 2 2" xfId="158"/>
    <cellStyle name="40% - Accent4 2 3" xfId="126"/>
    <cellStyle name="40% - Accent4 3" xfId="71"/>
    <cellStyle name="40% - Accent4 3 2" xfId="139"/>
    <cellStyle name="40% - Accent4 4" xfId="105"/>
    <cellStyle name="40% - Accent5" xfId="40" builtinId="47" customBuiltin="1"/>
    <cellStyle name="40% - Accent5 2" xfId="60"/>
    <cellStyle name="40% - Accent5 2 2" xfId="94"/>
    <cellStyle name="40% - Accent5 2 2 2" xfId="160"/>
    <cellStyle name="40% - Accent5 2 3" xfId="128"/>
    <cellStyle name="40% - Accent5 3" xfId="73"/>
    <cellStyle name="40% - Accent5 3 2" xfId="141"/>
    <cellStyle name="40% - Accent5 4" xfId="107"/>
    <cellStyle name="40% - Accent6" xfId="44" builtinId="51" customBuiltin="1"/>
    <cellStyle name="40% - Accent6 2" xfId="62"/>
    <cellStyle name="40% - Accent6 2 2" xfId="96"/>
    <cellStyle name="40% - Accent6 2 2 2" xfId="162"/>
    <cellStyle name="40% - Accent6 2 3" xfId="130"/>
    <cellStyle name="40% - Accent6 3" xfId="75"/>
    <cellStyle name="40% - Accent6 3 2" xfId="143"/>
    <cellStyle name="40% - Accent6 4" xfId="10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10" xfId="97"/>
    <cellStyle name="Normal 2" xfId="1"/>
    <cellStyle name="Normal 3" xfId="2"/>
    <cellStyle name="Normal 3 2" xfId="77"/>
    <cellStyle name="Normal 3 2 2" xfId="144"/>
    <cellStyle name="Normal 3 3" xfId="111"/>
    <cellStyle name="Normal 4" xfId="5"/>
    <cellStyle name="Normal 4 2" xfId="79"/>
    <cellStyle name="Normal 4 2 2" xfId="145"/>
    <cellStyle name="Normal 4 3" xfId="113"/>
    <cellStyle name="Normal 5" xfId="46"/>
    <cellStyle name="Normal 5 2" xfId="80"/>
    <cellStyle name="Normal 5 2 2" xfId="146"/>
    <cellStyle name="Normal 5 3" xfId="114"/>
    <cellStyle name="Normal 6" xfId="48"/>
    <cellStyle name="Normal 6 2" xfId="82"/>
    <cellStyle name="Normal 6 2 2" xfId="148"/>
    <cellStyle name="Normal 6 3" xfId="116"/>
    <cellStyle name="Normal 7" xfId="76"/>
    <cellStyle name="Normal 8" xfId="63"/>
    <cellStyle name="Normal 8 2" xfId="131"/>
    <cellStyle name="Normal 9" xfId="110"/>
    <cellStyle name="Note 2" xfId="3"/>
    <cellStyle name="Note 3" xfId="47"/>
    <cellStyle name="Note 3 2" xfId="81"/>
    <cellStyle name="Note 3 2 2" xfId="147"/>
    <cellStyle name="Note 3 3" xfId="115"/>
    <cellStyle name="Note 4" xfId="50"/>
    <cellStyle name="Note 4 2" xfId="84"/>
    <cellStyle name="Note 4 2 2" xfId="150"/>
    <cellStyle name="Note 4 3" xfId="118"/>
    <cellStyle name="Output" xfId="15" builtinId="21" customBuiltin="1"/>
    <cellStyle name="Percent" xfId="4" builtinId="5"/>
    <cellStyle name="Percent 2" xfId="49"/>
    <cellStyle name="Percent 2 2" xfId="83"/>
    <cellStyle name="Percent 2 2 2" xfId="149"/>
    <cellStyle name="Percent 2 3" xfId="117"/>
    <cellStyle name="Percent 3" xfId="78"/>
    <cellStyle name="Percent 4" xfId="112"/>
    <cellStyle name="Title" xfId="6" builtinId="15" customBuiltin="1"/>
    <cellStyle name="Total" xfId="21" builtinId="25" customBuiltin="1"/>
    <cellStyle name="Warning Text" xfId="19" builtinId="11" customBuiltin="1"/>
  </cellStyles>
  <dxfs count="3961">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numFmt numFmtId="164" formatCode="&quot;$&quot;#,##0.00_);[Red]\(&quot;$&quot;#,##0.00\)"/>
    </dxf>
    <dxf>
      <numFmt numFmtId="164" formatCode="&quot;$&quot;#,##0.00_);[Red]\(&quot;$&quot;#,##0.00\)"/>
    </dxf>
    <dxf>
      <numFmt numFmtId="0" formatCode="Genera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numFmt numFmtId="171" formatCode="mmm\-yyyy"/>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fill>
        <patternFill>
          <bgColor rgb="FF99CCFF"/>
        </patternFill>
      </fill>
    </dxf>
    <dxf>
      <fill>
        <patternFill>
          <bgColor theme="6" tint="0.39997558519241921"/>
        </patternFill>
      </fill>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7" tint="0.59999389629810485"/>
        </patternFill>
      </fill>
    </dxf>
    <dxf>
      <fill>
        <patternFill>
          <bgColor theme="7"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bgColor theme="0"/>
        </patternFill>
      </fill>
    </dxf>
    <dxf>
      <fill>
        <patternFill>
          <bgColor theme="6" tint="0.59999389629810485"/>
        </patternFill>
      </fill>
    </dxf>
    <dxf>
      <fill>
        <patternFill>
          <bgColor theme="6" tint="0.59999389629810485"/>
        </patternFill>
      </fill>
    </dxf>
    <dxf>
      <fill>
        <patternFill>
          <bgColor theme="5" tint="0.59999389629810485"/>
        </patternFill>
      </fill>
    </dxf>
    <dxf>
      <fill>
        <patternFill>
          <bgColor theme="5" tint="0.59999389629810485"/>
        </patternFill>
      </fill>
    </dxf>
    <dxf>
      <fill>
        <patternFill>
          <bgColor theme="6" tint="0.39997558519241921"/>
        </patternFill>
      </fill>
    </dxf>
    <dxf>
      <fill>
        <patternFill>
          <bgColor theme="3" tint="0.59999389629810485"/>
        </patternFill>
      </fill>
    </dxf>
    <dxf>
      <font>
        <strike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alignment vertical="center" textRotation="0" wrapTex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9" tint="-0.249977111117893"/>
        </patternFill>
      </fill>
      <alignment horizontal="center"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2" formatCode="0.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2" formatCode="0.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2" formatCode="0.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64" formatCode="&quot;$&quot;#,##0.00_);[Red]\(&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71" formatCode="mmm\-yyyy"/>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71" formatCode="m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Calibri"/>
        <scheme val="minor"/>
      </font>
      <numFmt numFmtId="2" formatCode="0.00"/>
      <fill>
        <patternFill patternType="solid">
          <fgColor indexed="64"/>
          <bgColor theme="3" tint="0.39997558519241921"/>
        </patternFill>
      </fill>
      <alignment horizontal="center" vertical="center" textRotation="90" wrapText="0" indent="0" justifyLastLine="0" shrinkToFit="0" readingOrder="0"/>
      <border diagonalUp="0" diagonalDown="0" outline="0">
        <left style="thin">
          <color indexed="64"/>
        </left>
        <right style="thin">
          <color indexed="64"/>
        </right>
        <top/>
        <bottom/>
      </border>
    </dxf>
    <dxf>
      <fill>
        <patternFill>
          <bgColor theme="3" tint="0.59999389629810485"/>
        </patternFill>
      </fill>
    </dxf>
    <dxf>
      <fill>
        <patternFill>
          <bgColor theme="6" tint="0.39997558519241921"/>
        </patternFill>
      </fill>
    </dxf>
    <dxf>
      <fill>
        <patternFill>
          <bgColor theme="5" tint="0.59999389629810485"/>
        </patternFill>
      </fill>
    </dxf>
    <dxf>
      <fill>
        <patternFill>
          <bgColor theme="5" tint="0.59999389629810485"/>
        </patternFill>
      </fill>
    </dxf>
    <dxf>
      <fill>
        <patternFill>
          <bgColor theme="6" tint="0.59999389629810485"/>
        </patternFill>
      </fill>
    </dxf>
    <dxf>
      <fill>
        <patternFill>
          <bgColor theme="6" tint="0.59999389629810485"/>
        </patternFill>
      </fill>
    </dxf>
    <dxf>
      <fill>
        <patternFill>
          <bgColor theme="0"/>
        </patternFill>
      </fill>
    </dxf>
    <dxf>
      <fill>
        <patternFill patternType="solid">
          <bgColor rgb="FFFFFF00"/>
        </patternFill>
      </fill>
    </dxf>
    <dxf>
      <fill>
        <patternFill patternType="solid">
          <bgColor rgb="FFFFFF00"/>
        </patternFill>
      </fill>
    </dxf>
    <dxf>
      <fill>
        <patternFill>
          <bgColor theme="9" tint="0.59999389629810485"/>
        </patternFill>
      </fill>
    </dxf>
    <dxf>
      <fill>
        <patternFill>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9" tint="0.59999389629810485"/>
        </patternFill>
      </fill>
    </dxf>
    <dxf>
      <fill>
        <patternFill>
          <bgColor theme="9" tint="0.59999389629810485"/>
        </patternFill>
      </fill>
    </dxf>
    <dxf>
      <fill>
        <patternFill>
          <bgColor theme="8" tint="0.59999389629810485"/>
        </patternFill>
      </fill>
    </dxf>
    <dxf>
      <fill>
        <patternFill>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7" tint="0.59999389629810485"/>
        </patternFill>
      </fill>
    </dxf>
    <dxf>
      <fill>
        <patternFill>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bgColor theme="5" tint="0.59999389629810485"/>
        </patternFill>
      </fill>
    </dxf>
    <dxf>
      <fill>
        <patternFill>
          <bgColor theme="6" tint="0.59999389629810485"/>
        </patternFill>
      </fill>
    </dxf>
    <dxf>
      <fill>
        <patternFill>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readingOrder="0"/>
    </dxf>
    <dxf>
      <alignment wrapText="1" readingOrder="0"/>
    </dxf>
    <dxf>
      <fill>
        <patternFill>
          <bgColor theme="6" tint="0.39997558519241921"/>
        </patternFill>
      </fill>
    </dxf>
    <dxf>
      <fill>
        <patternFill>
          <bgColor rgb="FF99CCFF"/>
        </patternFill>
      </fill>
    </dxf>
    <dxf>
      <numFmt numFmtId="14" formatCode="0.00%"/>
    </dxf>
    <dxf>
      <numFmt numFmtId="14" formatCode="0.0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ont>
        <sz val="10"/>
      </font>
    </dxf>
    <dxf>
      <font>
        <sz val="10"/>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numFmt numFmtId="14"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71" formatCode="mmm\-yyyy"/>
    </dxf>
    <dxf>
      <border>
        <horizontal style="thin">
          <color indexed="64"/>
        </horizontal>
      </border>
    </dxf>
    <dxf>
      <border>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dxf>
    <dxf>
      <numFmt numFmtId="0" formatCode="General"/>
    </dxf>
    <dxf>
      <numFmt numFmtId="164" formatCode="&quot;$&quot;#,##0.00_);[Red]\(&quot;$&quot;#,##0.00\)"/>
    </dxf>
    <dxf>
      <numFmt numFmtId="164" formatCode="&quot;$&quot;#,##0.00_);[Red]\(&quot;$&quot;#,##0.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954A"/>
      <rgbColor rgb="00C0C0C0"/>
      <rgbColor rgb="00808080"/>
      <rgbColor rgb="009999FF"/>
      <rgbColor rgb="00993366"/>
      <rgbColor rgb="00FFFFCC"/>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66FFFF"/>
      <color rgb="FF00FF00"/>
      <color rgb="FF99CCFF"/>
      <color rgb="FFFFD5D5"/>
      <color rgb="FFFF9F9F"/>
      <color rgb="FFF42828"/>
      <color rgb="FFFF7C80"/>
      <color rgb="FFFF66FF"/>
      <color rgb="FFF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Insurance Outstanding AR Based on Insurance Group</a:t>
            </a:r>
          </a:p>
        </c:rich>
      </c:tx>
      <c:layout>
        <c:manualLayout>
          <c:xMode val="edge"/>
          <c:yMode val="edge"/>
          <c:x val="0.18435859295750945"/>
          <c:y val="1.709397436431557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25744765439848616"/>
          <c:y val="7.2690913635795523E-2"/>
          <c:w val="0.53141281949808272"/>
          <c:h val="0.81117776944548603"/>
        </c:manualLayout>
      </c:layout>
      <c:pieChart>
        <c:varyColors val="1"/>
        <c:ser>
          <c:idx val="0"/>
          <c:order val="0"/>
          <c:tx>
            <c:strRef>
              <c:f>'AR Snapshot - Enterprise'!$W$1</c:f>
              <c:strCache>
                <c:ptCount val="1"/>
                <c:pt idx="0">
                  <c:v>Total Nos</c:v>
                </c:pt>
              </c:strCache>
            </c:strRef>
          </c:tx>
          <c:explosion val="9"/>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7F-445A-8DB4-542B3EBD480E}"/>
              </c:ext>
            </c:extLst>
          </c:dPt>
          <c:dPt>
            <c:idx val="1"/>
            <c:bubble3D val="0"/>
            <c:explosion val="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7F-445A-8DB4-542B3EBD480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17F-445A-8DB4-542B3EBD480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17F-445A-8DB4-542B3EBD480E}"/>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117F-445A-8DB4-542B3EBD480E}"/>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117F-445A-8DB4-542B3EBD480E}"/>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117F-445A-8DB4-542B3EBD480E}"/>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117F-445A-8DB4-542B3EBD480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117F-445A-8DB4-542B3EBD480E}"/>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117F-445A-8DB4-542B3EBD480E}"/>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117F-445A-8DB4-542B3EBD480E}"/>
              </c:ext>
            </c:extLst>
          </c:dPt>
          <c:dLbls>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'AR Snapshot - Enterprise'!$A$3:$A$11</c:f>
              <c:strCache>
                <c:ptCount val="9"/>
                <c:pt idx="0">
                  <c:v>Aetna</c:v>
                </c:pt>
                <c:pt idx="1">
                  <c:v>BCBS</c:v>
                </c:pt>
                <c:pt idx="2">
                  <c:v>Cigna</c:v>
                </c:pt>
                <c:pt idx="3">
                  <c:v>Commercial</c:v>
                </c:pt>
                <c:pt idx="4">
                  <c:v>Medicaid</c:v>
                </c:pt>
                <c:pt idx="5">
                  <c:v>Medicare</c:v>
                </c:pt>
                <c:pt idx="6">
                  <c:v>Occ Med</c:v>
                </c:pt>
                <c:pt idx="7">
                  <c:v>United</c:v>
                </c:pt>
                <c:pt idx="8">
                  <c:v>Work Comp</c:v>
                </c:pt>
              </c:strCache>
            </c:strRef>
          </c:cat>
          <c:val>
            <c:numRef>
              <c:f>'AR Snapshot - Enterprise'!$W$3:$W$11</c:f>
              <c:numCache>
                <c:formatCode>General</c:formatCode>
                <c:ptCount val="9"/>
                <c:pt idx="0">
                  <c:v>2069</c:v>
                </c:pt>
                <c:pt idx="1">
                  <c:v>5078</c:v>
                </c:pt>
                <c:pt idx="2">
                  <c:v>1474</c:v>
                </c:pt>
                <c:pt idx="3">
                  <c:v>2671</c:v>
                </c:pt>
                <c:pt idx="4">
                  <c:v>231</c:v>
                </c:pt>
                <c:pt idx="5">
                  <c:v>2053</c:v>
                </c:pt>
                <c:pt idx="6">
                  <c:v>5608</c:v>
                </c:pt>
                <c:pt idx="7">
                  <c:v>4959</c:v>
                </c:pt>
                <c:pt idx="8">
                  <c:v>2262</c:v>
                </c:pt>
              </c:numCache>
            </c:numRef>
          </c:val>
          <c:extLst>
            <c:ext xmlns:c16="http://schemas.microsoft.com/office/drawing/2014/chart" uri="{C3380CC4-5D6E-409C-BE32-E72D297353CC}">
              <c16:uniqueId val="{00000016-117F-445A-8DB4-542B3EBD480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5.536629411791464E-2"/>
          <c:y val="0.87213320557152574"/>
          <c:w val="0.9008212448313978"/>
          <c:h val="0.10670277326445306"/>
        </c:manualLayout>
      </c:layout>
      <c:overlay val="0"/>
      <c:spPr>
        <a:noFill/>
        <a:ln>
          <a:noFill/>
        </a:ln>
        <a:effectLst/>
      </c:spPr>
      <c:txPr>
        <a:bodyPr rot="0" spcFirstLastPara="1" vertOverflow="ellipsis" vert="horz" wrap="square" anchor="ctr" anchorCtr="1"/>
        <a:lstStyle/>
        <a:p>
          <a:pPr rtl="0">
            <a:defRPr sz="900" b="1"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Insurance</a:t>
            </a:r>
            <a:r>
              <a:rPr lang="en-US" baseline="0"/>
              <a:t> AR - </a:t>
            </a:r>
            <a:r>
              <a:rPr lang="en-US" sz="1600" b="1" i="0" u="none" strike="noStrike" baseline="0">
                <a:effectLst/>
              </a:rPr>
              <a:t>90-180+ Days</a:t>
            </a:r>
            <a:endParaRPr lang="en-US"/>
          </a:p>
        </c:rich>
      </c:tx>
      <c:layout>
        <c:manualLayout>
          <c:xMode val="edge"/>
          <c:yMode val="edge"/>
          <c:x val="0.37210925609310419"/>
          <c:y val="9.029985372934618E-2"/>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095131003759437E-2"/>
          <c:y val="3.1040574719462751E-2"/>
          <c:w val="0.89399267744689515"/>
          <c:h val="0.75370337164633472"/>
        </c:manualLayout>
      </c:layout>
      <c:barChart>
        <c:barDir val="col"/>
        <c:grouping val="clustered"/>
        <c:varyColors val="0"/>
        <c:ser>
          <c:idx val="0"/>
          <c:order val="0"/>
          <c:tx>
            <c:strRef>
              <c:f>'AR Snapshot - Enterprise'!$K$1</c:f>
              <c:strCache>
                <c:ptCount val="1"/>
                <c:pt idx="0">
                  <c:v>90 days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('AR Snapshot - Enterprise'!$A$3:$A$11,'AR Snapshot - Enterprise'!$K$3:$K$11)</c:f>
              <c:strCache>
                <c:ptCount val="18"/>
                <c:pt idx="0">
                  <c:v>Aetna</c:v>
                </c:pt>
                <c:pt idx="1">
                  <c:v>BCBS</c:v>
                </c:pt>
                <c:pt idx="2">
                  <c:v>Cigna</c:v>
                </c:pt>
                <c:pt idx="3">
                  <c:v>Commercial</c:v>
                </c:pt>
                <c:pt idx="4">
                  <c:v>Medicaid</c:v>
                </c:pt>
                <c:pt idx="5">
                  <c:v>Medicare</c:v>
                </c:pt>
                <c:pt idx="6">
                  <c:v>Occ Med</c:v>
                </c:pt>
                <c:pt idx="7">
                  <c:v>United</c:v>
                </c:pt>
                <c:pt idx="8">
                  <c:v>Work Comp</c:v>
                </c:pt>
                <c:pt idx="9">
                  <c:v>51</c:v>
                </c:pt>
                <c:pt idx="10">
                  <c:v>77</c:v>
                </c:pt>
                <c:pt idx="11">
                  <c:v>60</c:v>
                </c:pt>
                <c:pt idx="12">
                  <c:v>140</c:v>
                </c:pt>
                <c:pt idx="13">
                  <c:v>21</c:v>
                </c:pt>
                <c:pt idx="14">
                  <c:v>163</c:v>
                </c:pt>
                <c:pt idx="15">
                  <c:v>286</c:v>
                </c:pt>
                <c:pt idx="16">
                  <c:v>40</c:v>
                </c:pt>
                <c:pt idx="17">
                  <c:v>126</c:v>
                </c:pt>
              </c:strCache>
            </c:strRef>
          </c:cat>
          <c:val>
            <c:numRef>
              <c:f>'AR Snapshot - Enterprise'!$K$3:$K$11</c:f>
              <c:numCache>
                <c:formatCode>General</c:formatCode>
                <c:ptCount val="9"/>
                <c:pt idx="0">
                  <c:v>51</c:v>
                </c:pt>
                <c:pt idx="1">
                  <c:v>77</c:v>
                </c:pt>
                <c:pt idx="2">
                  <c:v>60</c:v>
                </c:pt>
                <c:pt idx="3">
                  <c:v>140</c:v>
                </c:pt>
                <c:pt idx="4">
                  <c:v>21</c:v>
                </c:pt>
                <c:pt idx="5">
                  <c:v>163</c:v>
                </c:pt>
                <c:pt idx="6">
                  <c:v>286</c:v>
                </c:pt>
                <c:pt idx="7">
                  <c:v>40</c:v>
                </c:pt>
                <c:pt idx="8">
                  <c:v>126</c:v>
                </c:pt>
              </c:numCache>
            </c:numRef>
          </c:val>
          <c:extLst>
            <c:ext xmlns:c16="http://schemas.microsoft.com/office/drawing/2014/chart" uri="{C3380CC4-5D6E-409C-BE32-E72D297353CC}">
              <c16:uniqueId val="{00000000-B5F0-4C3A-B9C7-3D7F7D4B18AF}"/>
            </c:ext>
          </c:extLst>
        </c:ser>
        <c:ser>
          <c:idx val="1"/>
          <c:order val="1"/>
          <c:tx>
            <c:strRef>
              <c:f>'AR Snapshot - Enterprise'!$N$1</c:f>
              <c:strCache>
                <c:ptCount val="1"/>
                <c:pt idx="0">
                  <c:v>120 days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('AR Snapshot - Enterprise'!$A$3:$A$11,'AR Snapshot - Enterprise'!$K$3:$K$11)</c:f>
              <c:strCache>
                <c:ptCount val="18"/>
                <c:pt idx="0">
                  <c:v>Aetna</c:v>
                </c:pt>
                <c:pt idx="1">
                  <c:v>BCBS</c:v>
                </c:pt>
                <c:pt idx="2">
                  <c:v>Cigna</c:v>
                </c:pt>
                <c:pt idx="3">
                  <c:v>Commercial</c:v>
                </c:pt>
                <c:pt idx="4">
                  <c:v>Medicaid</c:v>
                </c:pt>
                <c:pt idx="5">
                  <c:v>Medicare</c:v>
                </c:pt>
                <c:pt idx="6">
                  <c:v>Occ Med</c:v>
                </c:pt>
                <c:pt idx="7">
                  <c:v>United</c:v>
                </c:pt>
                <c:pt idx="8">
                  <c:v>Work Comp</c:v>
                </c:pt>
                <c:pt idx="9">
                  <c:v>51</c:v>
                </c:pt>
                <c:pt idx="10">
                  <c:v>77</c:v>
                </c:pt>
                <c:pt idx="11">
                  <c:v>60</c:v>
                </c:pt>
                <c:pt idx="12">
                  <c:v>140</c:v>
                </c:pt>
                <c:pt idx="13">
                  <c:v>21</c:v>
                </c:pt>
                <c:pt idx="14">
                  <c:v>163</c:v>
                </c:pt>
                <c:pt idx="15">
                  <c:v>286</c:v>
                </c:pt>
                <c:pt idx="16">
                  <c:v>40</c:v>
                </c:pt>
                <c:pt idx="17">
                  <c:v>126</c:v>
                </c:pt>
              </c:strCache>
            </c:strRef>
          </c:cat>
          <c:val>
            <c:numRef>
              <c:f>'AR Snapshot - Enterprise'!$N$3:$N$11</c:f>
              <c:numCache>
                <c:formatCode>General</c:formatCode>
                <c:ptCount val="9"/>
                <c:pt idx="0">
                  <c:v>60</c:v>
                </c:pt>
                <c:pt idx="1">
                  <c:v>56</c:v>
                </c:pt>
                <c:pt idx="2">
                  <c:v>44</c:v>
                </c:pt>
                <c:pt idx="3">
                  <c:v>97</c:v>
                </c:pt>
                <c:pt idx="4">
                  <c:v>20</c:v>
                </c:pt>
                <c:pt idx="5">
                  <c:v>213</c:v>
                </c:pt>
                <c:pt idx="6">
                  <c:v>194</c:v>
                </c:pt>
                <c:pt idx="7">
                  <c:v>23</c:v>
                </c:pt>
                <c:pt idx="8">
                  <c:v>98</c:v>
                </c:pt>
              </c:numCache>
            </c:numRef>
          </c:val>
          <c:extLst>
            <c:ext xmlns:c16="http://schemas.microsoft.com/office/drawing/2014/chart" uri="{C3380CC4-5D6E-409C-BE32-E72D297353CC}">
              <c16:uniqueId val="{00000001-B5F0-4C3A-B9C7-3D7F7D4B18AF}"/>
            </c:ext>
          </c:extLst>
        </c:ser>
        <c:ser>
          <c:idx val="2"/>
          <c:order val="2"/>
          <c:tx>
            <c:strRef>
              <c:f>'AR Snapshot - Enterprise'!$Q$1</c:f>
              <c:strCache>
                <c:ptCount val="1"/>
                <c:pt idx="0">
                  <c:v>150 days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('AR Snapshot - Enterprise'!$A$3:$A$11,'AR Snapshot - Enterprise'!$K$3:$K$11)</c:f>
              <c:strCache>
                <c:ptCount val="18"/>
                <c:pt idx="0">
                  <c:v>Aetna</c:v>
                </c:pt>
                <c:pt idx="1">
                  <c:v>BCBS</c:v>
                </c:pt>
                <c:pt idx="2">
                  <c:v>Cigna</c:v>
                </c:pt>
                <c:pt idx="3">
                  <c:v>Commercial</c:v>
                </c:pt>
                <c:pt idx="4">
                  <c:v>Medicaid</c:v>
                </c:pt>
                <c:pt idx="5">
                  <c:v>Medicare</c:v>
                </c:pt>
                <c:pt idx="6">
                  <c:v>Occ Med</c:v>
                </c:pt>
                <c:pt idx="7">
                  <c:v>United</c:v>
                </c:pt>
                <c:pt idx="8">
                  <c:v>Work Comp</c:v>
                </c:pt>
                <c:pt idx="9">
                  <c:v>51</c:v>
                </c:pt>
                <c:pt idx="10">
                  <c:v>77</c:v>
                </c:pt>
                <c:pt idx="11">
                  <c:v>60</c:v>
                </c:pt>
                <c:pt idx="12">
                  <c:v>140</c:v>
                </c:pt>
                <c:pt idx="13">
                  <c:v>21</c:v>
                </c:pt>
                <c:pt idx="14">
                  <c:v>163</c:v>
                </c:pt>
                <c:pt idx="15">
                  <c:v>286</c:v>
                </c:pt>
                <c:pt idx="16">
                  <c:v>40</c:v>
                </c:pt>
                <c:pt idx="17">
                  <c:v>126</c:v>
                </c:pt>
              </c:strCache>
            </c:strRef>
          </c:cat>
          <c:val>
            <c:numRef>
              <c:f>'AR Snapshot - Enterprise'!$Q$3:$Q$11</c:f>
              <c:numCache>
                <c:formatCode>General</c:formatCode>
                <c:ptCount val="9"/>
                <c:pt idx="0">
                  <c:v>34</c:v>
                </c:pt>
                <c:pt idx="1">
                  <c:v>36</c:v>
                </c:pt>
                <c:pt idx="2">
                  <c:v>32</c:v>
                </c:pt>
                <c:pt idx="3">
                  <c:v>63</c:v>
                </c:pt>
                <c:pt idx="4">
                  <c:v>23</c:v>
                </c:pt>
                <c:pt idx="5">
                  <c:v>134</c:v>
                </c:pt>
                <c:pt idx="6">
                  <c:v>210</c:v>
                </c:pt>
                <c:pt idx="7">
                  <c:v>25</c:v>
                </c:pt>
                <c:pt idx="8">
                  <c:v>73</c:v>
                </c:pt>
              </c:numCache>
            </c:numRef>
          </c:val>
          <c:extLst>
            <c:ext xmlns:c16="http://schemas.microsoft.com/office/drawing/2014/chart" uri="{C3380CC4-5D6E-409C-BE32-E72D297353CC}">
              <c16:uniqueId val="{00000002-B5F0-4C3A-B9C7-3D7F7D4B18AF}"/>
            </c:ext>
          </c:extLst>
        </c:ser>
        <c:ser>
          <c:idx val="3"/>
          <c:order val="3"/>
          <c:tx>
            <c:strRef>
              <c:f>'AR Snapshot - Enterprise'!$T$1</c:f>
              <c:strCache>
                <c:ptCount val="1"/>
                <c:pt idx="0">
                  <c:v>180+ days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('AR Snapshot - Enterprise'!$A$3:$A$11,'AR Snapshot - Enterprise'!$K$3:$K$11)</c:f>
              <c:strCache>
                <c:ptCount val="18"/>
                <c:pt idx="0">
                  <c:v>Aetna</c:v>
                </c:pt>
                <c:pt idx="1">
                  <c:v>BCBS</c:v>
                </c:pt>
                <c:pt idx="2">
                  <c:v>Cigna</c:v>
                </c:pt>
                <c:pt idx="3">
                  <c:v>Commercial</c:v>
                </c:pt>
                <c:pt idx="4">
                  <c:v>Medicaid</c:v>
                </c:pt>
                <c:pt idx="5">
                  <c:v>Medicare</c:v>
                </c:pt>
                <c:pt idx="6">
                  <c:v>Occ Med</c:v>
                </c:pt>
                <c:pt idx="7">
                  <c:v>United</c:v>
                </c:pt>
                <c:pt idx="8">
                  <c:v>Work Comp</c:v>
                </c:pt>
                <c:pt idx="9">
                  <c:v>51</c:v>
                </c:pt>
                <c:pt idx="10">
                  <c:v>77</c:v>
                </c:pt>
                <c:pt idx="11">
                  <c:v>60</c:v>
                </c:pt>
                <c:pt idx="12">
                  <c:v>140</c:v>
                </c:pt>
                <c:pt idx="13">
                  <c:v>21</c:v>
                </c:pt>
                <c:pt idx="14">
                  <c:v>163</c:v>
                </c:pt>
                <c:pt idx="15">
                  <c:v>286</c:v>
                </c:pt>
                <c:pt idx="16">
                  <c:v>40</c:v>
                </c:pt>
                <c:pt idx="17">
                  <c:v>126</c:v>
                </c:pt>
              </c:strCache>
            </c:strRef>
          </c:cat>
          <c:val>
            <c:numRef>
              <c:f>'AR Snapshot - Enterprise'!$T$3:$T$11</c:f>
              <c:numCache>
                <c:formatCode>General</c:formatCode>
                <c:ptCount val="9"/>
                <c:pt idx="0">
                  <c:v>132</c:v>
                </c:pt>
                <c:pt idx="1">
                  <c:v>566</c:v>
                </c:pt>
                <c:pt idx="2">
                  <c:v>177</c:v>
                </c:pt>
                <c:pt idx="3">
                  <c:v>372</c:v>
                </c:pt>
                <c:pt idx="4">
                  <c:v>57</c:v>
                </c:pt>
                <c:pt idx="5">
                  <c:v>345</c:v>
                </c:pt>
                <c:pt idx="6">
                  <c:v>374</c:v>
                </c:pt>
                <c:pt idx="7">
                  <c:v>119</c:v>
                </c:pt>
                <c:pt idx="8">
                  <c:v>383</c:v>
                </c:pt>
              </c:numCache>
            </c:numRef>
          </c:val>
          <c:extLst>
            <c:ext xmlns:c16="http://schemas.microsoft.com/office/drawing/2014/chart" uri="{C3380CC4-5D6E-409C-BE32-E72D297353CC}">
              <c16:uniqueId val="{00000003-B5F0-4C3A-B9C7-3D7F7D4B18AF}"/>
            </c:ext>
          </c:extLst>
        </c:ser>
        <c:dLbls>
          <c:dLblPos val="outEnd"/>
          <c:showLegendKey val="0"/>
          <c:showVal val="1"/>
          <c:showCatName val="0"/>
          <c:showSerName val="0"/>
          <c:showPercent val="0"/>
          <c:showBubbleSize val="0"/>
        </c:dLbls>
        <c:gapWidth val="100"/>
        <c:overlap val="-24"/>
        <c:axId val="-662739872"/>
        <c:axId val="-662737696"/>
      </c:barChart>
      <c:catAx>
        <c:axId val="-662739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737696"/>
        <c:crosses val="autoZero"/>
        <c:auto val="1"/>
        <c:lblAlgn val="ctr"/>
        <c:lblOffset val="100"/>
        <c:noMultiLvlLbl val="0"/>
      </c:catAx>
      <c:valAx>
        <c:axId val="-66273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739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561974</xdr:colOff>
      <xdr:row>0</xdr:row>
      <xdr:rowOff>72389</xdr:rowOff>
    </xdr:from>
    <xdr:to>
      <xdr:col>12</xdr:col>
      <xdr:colOff>592454</xdr:colOff>
      <xdr:row>7</xdr:row>
      <xdr:rowOff>133349</xdr:rowOff>
    </xdr:to>
    <mc:AlternateContent xmlns:mc="http://schemas.openxmlformats.org/markup-compatibility/2006" xmlns:a14="http://schemas.microsoft.com/office/drawing/2010/main">
      <mc:Choice Requires="a14">
        <xdr:graphicFrame macro="">
          <xdr:nvGraphicFramePr>
            <xdr:cNvPr id="2" name="Month 1"/>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5667374" y="72389"/>
              <a:ext cx="4221480" cy="119443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47624</xdr:colOff>
      <xdr:row>0</xdr:row>
      <xdr:rowOff>85726</xdr:rowOff>
    </xdr:from>
    <xdr:to>
      <xdr:col>6</xdr:col>
      <xdr:colOff>514350</xdr:colOff>
      <xdr:row>4</xdr:row>
      <xdr:rowOff>104775</xdr:rowOff>
    </xdr:to>
    <mc:AlternateContent xmlns:mc="http://schemas.openxmlformats.org/markup-compatibility/2006" xmlns:a14="http://schemas.microsoft.com/office/drawing/2010/main">
      <mc:Choice Requires="a14">
        <xdr:graphicFrame macro="">
          <xdr:nvGraphicFramePr>
            <xdr:cNvPr id="3" name="MARKET 1"/>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ARKET 1"/>
            </a:graphicData>
          </a:graphic>
        </xdr:graphicFrame>
      </mc:Choice>
      <mc:Fallback xmlns="">
        <xdr:sp macro="" textlink="">
          <xdr:nvSpPr>
            <xdr:cNvPr id="0" name=""/>
            <xdr:cNvSpPr>
              <a:spLocks noTextEdit="1"/>
            </xdr:cNvSpPr>
          </xdr:nvSpPr>
          <xdr:spPr>
            <a:xfrm>
              <a:off x="1000124" y="85726"/>
              <a:ext cx="4619626" cy="666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12</xdr:row>
      <xdr:rowOff>109538</xdr:rowOff>
    </xdr:from>
    <xdr:to>
      <xdr:col>7</xdr:col>
      <xdr:colOff>273844</xdr:colOff>
      <xdr:row>39</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12</xdr:row>
      <xdr:rowOff>119063</xdr:rowOff>
    </xdr:from>
    <xdr:to>
      <xdr:col>23</xdr:col>
      <xdr:colOff>631031</xdr:colOff>
      <xdr:row>39</xdr:row>
      <xdr:rowOff>59530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yed Suhail Pasha" refreshedDate="42859.92430150463" createdVersion="5" refreshedVersion="5" minRefreshableVersion="3" recordCount="786">
  <cacheSource type="worksheet">
    <worksheetSource name="Table13"/>
  </cacheSource>
  <cacheFields count="42">
    <cacheField name="Month" numFmtId="171">
      <sharedItems containsSemiMixedTypes="0" containsNonDate="0" containsDate="1" containsString="0" minDate="2016-01-16T00:00:00" maxDate="2017-04-29T00:00:00" count="16">
        <d v="2016-01-16T00:00:00"/>
        <d v="2016-02-01T00:00:00"/>
        <d v="2016-03-01T00:00:00"/>
        <d v="2016-04-01T00:00:00"/>
        <d v="2016-05-01T00:00:00"/>
        <d v="2016-06-01T00:00:00"/>
        <d v="2016-07-01T00:00:00"/>
        <d v="2016-08-01T00:00:00"/>
        <d v="2016-09-01T00:00:00"/>
        <d v="2016-10-01T00:00:00"/>
        <d v="2016-11-30T00:00:00"/>
        <d v="2016-12-31T00:00:00"/>
        <d v="2017-01-31T00:00:00"/>
        <d v="2017-02-28T00:00:00"/>
        <d v="2017-03-28T00:00:00"/>
        <d v="2017-04-28T00:00:00"/>
      </sharedItems>
    </cacheField>
    <cacheField name="MARKET" numFmtId="0">
      <sharedItems count="5">
        <s v="AUS"/>
        <s v="BOS"/>
        <s v="CHI"/>
        <s v="DFW"/>
        <s v="HOU"/>
      </sharedItems>
    </cacheField>
    <cacheField name="Facility " numFmtId="0">
      <sharedItems count="61">
        <s v="MS-AM-PC"/>
        <s v="MS-AM-UC"/>
        <s v="MS-BA-PC"/>
        <s v="MS-BA-UC"/>
        <s v="MS-CA-PC"/>
        <s v="MS-CA-UC"/>
        <s v="MS-CH-UC"/>
        <s v="MS-CP-PC"/>
        <s v="MS-CP-UC"/>
        <s v="MS-RR-PC"/>
        <s v="MS-RR-UC"/>
        <s v="MS-SC-PC"/>
        <s v="MS-SC-UC"/>
        <s v="MS-SM-UC"/>
        <s v="MS-SP-UC"/>
        <s v="MS-UT-PC"/>
        <s v="MS-UT-UC"/>
        <s v="PUC-BL-UC"/>
        <s v="MS-AH-PC"/>
        <s v="MS-AH-UC"/>
        <s v="MS-LL-PC"/>
        <s v="MS-LL-UC"/>
        <s v="MS-NA-PC"/>
        <s v="MS-NA-UC"/>
        <s v="MS-RN-UC"/>
        <s v="MS-WE-UC"/>
        <s v="MS-WL-UC"/>
        <s v="MS-WP-UC"/>
        <s v="MS-GR-UC"/>
        <s v="MS-KH-UC"/>
        <s v="MS-KL-UC"/>
        <s v="MS-LC-UC"/>
        <s v="MS-LT-UC"/>
        <s v="MS-OL-UC"/>
        <s v="MS-PV-UC"/>
        <s v="MS-UP-UC"/>
        <s v="MS-WS-UC"/>
        <s v="MS-GW-UC"/>
        <s v="MS-HT-UC"/>
        <s v="MS-KT-PC"/>
        <s v="MS-KT-UC"/>
        <s v="MS-KW-PC"/>
        <s v="MS-KW-UC"/>
        <s v="MS-ME-PC"/>
        <s v="MS-ME-UC"/>
        <s v="MS-MH-UC"/>
        <s v="MS-RO-PC"/>
        <s v="MS-RO-UC"/>
        <s v="MS-SL-PC"/>
        <s v="MS-SL-UC"/>
        <s v="MS-RC-UC"/>
        <s v="PUC-BB-UC"/>
        <s v="MS-ND-UC"/>
        <s v="PUC-NT-UC"/>
        <s v="PUC-WT-UC"/>
        <s v="MS-NF-UC"/>
        <s v="MS-BR-UC"/>
        <s v="PUC-CS-UC"/>
        <s v="MS-FL-UC"/>
        <s v="MS-WR-UC"/>
        <s v="PUC-CN-UC"/>
      </sharedItems>
    </cacheField>
    <cacheField name="Total Billed Charges" numFmtId="164">
      <sharedItems containsSemiMixedTypes="0" containsString="0" containsNumber="1" minValue="0" maxValue="671892.74056554795"/>
    </cacheField>
    <cacheField name="Self Charges" numFmtId="164">
      <sharedItems containsSemiMixedTypes="0" containsString="0" containsNumber="1" minValue="0" maxValue="28984.19000244141"/>
    </cacheField>
    <cacheField name="Ins Charges" numFmtId="164">
      <sharedItems containsSemiMixedTypes="0" containsString="0" containsNumber="1" minValue="0" maxValue="648128.74056554795"/>
    </cacheField>
    <cacheField name="Total Payments" numFmtId="164">
      <sharedItems containsSemiMixedTypes="0" containsString="0" containsNumber="1" minValue="0" maxValue="478537.3693364081"/>
    </cacheField>
    <cacheField name="Ins Payments" numFmtId="164">
      <sharedItems containsSemiMixedTypes="0" containsString="0" containsNumber="1" minValue="-23.229997634886999" maxValue="335411.53906211408"/>
    </cacheField>
    <cacheField name="Pt Payments" numFmtId="164">
      <sharedItems containsSemiMixedTypes="0" containsString="0" containsNumber="1" minValue="0" maxValue="252471.3491877768"/>
    </cacheField>
    <cacheField name="Refunds" numFmtId="164">
      <sharedItems containsSemiMixedTypes="0" containsString="0" containsNumber="1" minValue="0" maxValue="84204.109999304594"/>
    </cacheField>
    <cacheField name="Net Payment" numFmtId="164">
      <sharedItems containsSemiMixedTypes="0" containsString="0" containsNumber="1" minValue="-994.26001358032204" maxValue="462166.54934276233"/>
    </cacheField>
    <cacheField name="Adjustments Contractual" numFmtId="164">
      <sharedItems containsSemiMixedTypes="0" containsString="0" containsNumber="1" minValue="-63.5" maxValue="237406.2101888709"/>
    </cacheField>
    <cacheField name="Adjustments Other" numFmtId="164">
      <sharedItems containsSemiMixedTypes="0" containsString="0" containsNumber="1" minValue="-1485.7500033378601" maxValue="185288.67999422201"/>
    </cacheField>
    <cacheField name="# of visits" numFmtId="0">
      <sharedItems containsSemiMixedTypes="0" containsString="0" containsNumber="1" containsInteger="1" minValue="0" maxValue="3170"/>
    </cacheField>
    <cacheField name="Avg Gross Charge/Visit" numFmtId="164">
      <sharedItems containsMixedTypes="1" containsNumber="1" minValue="0" maxValue="273.9780745462441"/>
    </cacheField>
    <cacheField name="Avg Net Charge/Visit" numFmtId="164">
      <sharedItems containsMixedTypes="1" containsNumber="1" minValue="-61.025000890096003" maxValue="229.49441963647084"/>
    </cacheField>
    <cacheField name="Avg Payment per Visit" numFmtId="164">
      <sharedItems containsMixedTypes="1" containsNumber="1" minValue="0" maxValue="434.88833395639995"/>
    </cacheField>
    <cacheField name="Gross Collections" numFmtId="10">
      <sharedItems containsMixedTypes="1" containsNumber="1" minValue="0" maxValue="0.90582390265354862"/>
    </cacheField>
    <cacheField name="Net Collections" numFmtId="10">
      <sharedItems containsMixedTypes="1" containsNumber="1" minValue="-49.632913837332012" maxValue="21.475537087991967"/>
    </cacheField>
    <cacheField name="AR $ total" numFmtId="164">
      <sharedItems containsSemiMixedTypes="0" containsString="0" containsNumber="1" minValue="-354.62" maxValue="727371.7"/>
    </cacheField>
    <cacheField name="Total Ins AR $" numFmtId="164">
      <sharedItems containsSemiMixedTypes="0" containsString="0" containsNumber="1" minValue="-333.49" maxValue="632791.89"/>
    </cacheField>
    <cacheField name="Ins Only 91-120" numFmtId="164">
      <sharedItems containsSemiMixedTypes="0" containsString="0" containsNumber="1" minValue="-333.49" maxValue="91697.37"/>
    </cacheField>
    <cacheField name="%" numFmtId="10">
      <sharedItems containsMixedTypes="1" containsNumber="1" minValue="-6.4361022428475461E-5" maxValue="1"/>
    </cacheField>
    <cacheField name="Ins Only 121-150" numFmtId="164">
      <sharedItems containsSemiMixedTypes="0" containsString="0" containsNumber="1" minValue="-329.26" maxValue="41680.93"/>
    </cacheField>
    <cacheField name="%2" numFmtId="10">
      <sharedItems containsMixedTypes="1" containsNumber="1" minValue="0" maxValue="1"/>
    </cacheField>
    <cacheField name="Ins Only 151-180" numFmtId="164">
      <sharedItems containsSemiMixedTypes="0" containsString="0" containsNumber="1" minValue="-1294.75" maxValue="20666"/>
    </cacheField>
    <cacheField name="%3" numFmtId="10">
      <sharedItems containsSemiMixedTypes="0" containsString="0" containsNumber="1" minValue="0" maxValue="0.43327785392598395"/>
    </cacheField>
    <cacheField name="Ins Only 180+" numFmtId="164">
      <sharedItems containsSemiMixedTypes="0" containsString="0" containsNumber="1" minValue="-1497.52" maxValue="32216.41"/>
    </cacheField>
    <cacheField name="%4" numFmtId="10">
      <sharedItems containsMixedTypes="1" containsNumber="1" minValue="-1.1210759503915249E-2" maxValue="1.0819672131147542"/>
    </cacheField>
    <cacheField name="Total Patient AR $" numFmtId="164">
      <sharedItems containsSemiMixedTypes="0" containsString="0" containsNumber="1" minValue="-590.05999999999995" maxValue="275746.01"/>
    </cacheField>
    <cacheField name="Pt Only 91-120  " numFmtId="164">
      <sharedItems containsSemiMixedTypes="0" containsString="0" containsNumber="1" minValue="-52.37" maxValue="21211.15"/>
    </cacheField>
    <cacheField name="%6" numFmtId="10">
      <sharedItems containsMixedTypes="1" containsNumber="1" minValue="0" maxValue="0.42482885070274462"/>
    </cacheField>
    <cacheField name="Pt Only 121-150  " numFmtId="164">
      <sharedItems containsSemiMixedTypes="0" containsString="0" containsNumber="1" minValue="-277.07" maxValue="14423.63"/>
    </cacheField>
    <cacheField name="%8" numFmtId="10">
      <sharedItems containsMixedTypes="1" containsNumber="1" minValue="0" maxValue="0.516421960357064"/>
    </cacheField>
    <cacheField name="Pt Only 151-180  " numFmtId="164">
      <sharedItems containsSemiMixedTypes="0" containsString="0" containsNumber="1" minValue="-124.69" maxValue="13602.310000000001"/>
    </cacheField>
    <cacheField name="%10" numFmtId="10">
      <sharedItems containsSemiMixedTypes="0" containsString="0" containsNumber="1" minValue="0" maxValue="0.32689377216343618"/>
    </cacheField>
    <cacheField name="Pt Only 180+  " numFmtId="164">
      <sharedItems containsSemiMixedTypes="0" containsString="0" containsNumber="1" minValue="-176.94" maxValue="214472.75"/>
    </cacheField>
    <cacheField name="%12" numFmtId="10">
      <sharedItems containsMixedTypes="1" containsNumber="1" minValue="0" maxValue="1.1166269768577883"/>
    </cacheField>
    <cacheField name="DAR" numFmtId="2">
      <sharedItems containsMixedTypes="1" containsNumber="1" minValue="-9.5385102689888868E-3" maxValue="60.689683585603397"/>
    </cacheField>
    <cacheField name="Insurance-only DAR" numFmtId="2">
      <sharedItems containsMixedTypes="1" containsNumber="1" minValue="0" maxValue="41.123508822798499"/>
    </cacheField>
    <cacheField name="Patient-only DAR" numFmtId="2">
      <sharedItems containsMixedTypes="1" containsNumber="1" minValue="-4.4465712132629989" maxValue="676.95141335518235"/>
    </cacheField>
    <cacheField name="Refunds as % of Net Charges" numFmtId="10">
      <sharedItems containsMixedTypes="1" containsNumber="1" minValue="-4.0700965254376973" maxValue="10.460270413058213"/>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786">
  <r>
    <x v="0"/>
    <x v="0"/>
    <x v="0"/>
    <n v="0"/>
    <n v="0"/>
    <n v="0"/>
    <n v="305.230005264282"/>
    <n v="213.51000595092799"/>
    <n v="91.719999313354506"/>
    <n v="72.019996643066406"/>
    <n v="233.2100086212161"/>
    <n v="147.28999328613301"/>
    <n v="0"/>
    <n v="0"/>
    <s v="$0.00"/>
    <s v="$0.00"/>
    <s v="$0.00"/>
    <s v="0.00%"/>
    <n v="-1.3917742888174904"/>
    <n v="40983.659999999996"/>
    <n v="308.63"/>
    <n v="403.23"/>
    <n v="0"/>
    <n v="-94.6"/>
    <n v="0"/>
    <n v="0"/>
    <n v="0"/>
    <n v="0"/>
    <n v="0"/>
    <n v="40675.03"/>
    <n v="21.8"/>
    <n v="5.3595535147730685E-4"/>
    <n v="14.7"/>
    <n v="3.6140108562919315E-4"/>
    <n v="1419.13"/>
    <n v="3.4889464125779382E-2"/>
    <n v="5907.73"/>
    <n v="0.14524217929279953"/>
    <s v="0.00"/>
    <s v="0.00"/>
    <s v="0.00"/>
    <n v="-0.48896734283337706"/>
  </r>
  <r>
    <x v="0"/>
    <x v="0"/>
    <x v="1"/>
    <n v="188269.43998540787"/>
    <n v="9054"/>
    <n v="179215.43998540787"/>
    <n v="131286.75998712488"/>
    <n v="76628.880007505388"/>
    <n v="54657.8799796198"/>
    <n v="3687.4600021839101"/>
    <n v="127599.29998494126"/>
    <n v="57215.94013413597"/>
    <n v="2854.9600019455002"/>
    <n v="997"/>
    <n v="188.83594782889455"/>
    <n v="128.58429272750891"/>
    <n v="131.68180540333518"/>
    <n v="0.69733441602259383"/>
    <n v="1.0544182907119666"/>
    <n v="177458.7"/>
    <n v="141158.47"/>
    <n v="3610.5"/>
    <n v="2.5577636255196021E-2"/>
    <n v="24232.34"/>
    <n v="0.17166763000477406"/>
    <n v="5452.35"/>
    <n v="3.8625737442464489E-2"/>
    <n v="2330"/>
    <n v="1.650627128503164E-2"/>
    <n v="149715.09999999998"/>
    <n v="5758.37"/>
    <n v="3.8462185844981574E-2"/>
    <n v="5701.98"/>
    <n v="3.8085537130189279E-2"/>
    <n v="4385.04"/>
    <n v="2.928923001086731E-2"/>
    <n v="133869.71"/>
    <e v="#REF!"/>
    <n v="28.277350803256372"/>
    <n v="23.629404365744399"/>
    <n v="120.27909211398276"/>
    <n v="2.8763666158115649E-2"/>
  </r>
  <r>
    <x v="0"/>
    <x v="0"/>
    <x v="2"/>
    <n v="0"/>
    <n v="0"/>
    <n v="0"/>
    <n v="459.27999687194801"/>
    <n v="62.389999389648402"/>
    <n v="396.88999748229998"/>
    <n v="72.019996643066406"/>
    <n v="387.26000022888195"/>
    <n v="120.610000610352"/>
    <n v="438"/>
    <n v="0"/>
    <s v="$0.00"/>
    <s v="$0.00"/>
    <s v="$0.00"/>
    <s v="0.00%"/>
    <n v="-0.72828758364215085"/>
    <n v="51414.790000000008"/>
    <n v="581"/>
    <n v="65"/>
    <n v="0.11187607573149742"/>
    <n v="516"/>
    <n v="0.88812392426850262"/>
    <n v="0"/>
    <n v="0"/>
    <n v="0"/>
    <n v="0"/>
    <n v="50833.790000000008"/>
    <n v="43.6"/>
    <n v="8.5769721281848141E-4"/>
    <n v="63.45"/>
    <n v="1.2481855081039599E-3"/>
    <n v="198.85"/>
    <n v="3.911768136902638E-3"/>
    <n v="7231.52"/>
    <n v="0.14225813184497949"/>
    <s v="0.00"/>
    <s v="0.00"/>
    <s v="0.00"/>
    <n v="-0.12892715233235255"/>
  </r>
  <r>
    <x v="0"/>
    <x v="0"/>
    <x v="3"/>
    <n v="176811.279999461"/>
    <n v="15969"/>
    <n v="160842.279999461"/>
    <n v="121137.14990941199"/>
    <n v="58710.489925332397"/>
    <n v="62426.659984080099"/>
    <n v="3768.8500070571899"/>
    <n v="117368.2999023553"/>
    <n v="51977.800070695601"/>
    <n v="1450.75999832153"/>
    <n v="954"/>
    <n v="185.3367714879046"/>
    <n v="129.33199154134576"/>
    <n v="126.97814455913259"/>
    <n v="0.68512116370506326"/>
    <n v="1.0127349778667096"/>
    <n v="198279.32"/>
    <n v="125717.53"/>
    <n v="6042.41"/>
    <n v="4.8063384636971469E-2"/>
    <n v="21071.599999999999"/>
    <n v="0.16761067450179779"/>
    <n v="4306.37"/>
    <n v="3.425433191377527E-2"/>
    <n v="8988.3799999999992"/>
    <n v="7.1496632172140182E-2"/>
    <n v="72561.790000000008"/>
    <n v="6366.55"/>
    <n v="8.7739704326478152E-2"/>
    <n v="4932.5200000000004"/>
    <n v="6.7976823614742693E-2"/>
    <n v="4115.6400000000003"/>
    <n v="5.6719107949238845E-2"/>
    <n v="38349.879999999997"/>
    <n v="0.52851342283590297"/>
    <n v="33.642534571426289"/>
    <n v="23.448597595188524"/>
    <n v="136.3174713507421"/>
    <n v="3.0546011703922987E-2"/>
  </r>
  <r>
    <x v="0"/>
    <x v="0"/>
    <x v="4"/>
    <n v="0"/>
    <n v="0"/>
    <n v="0"/>
    <n v="10.2399997711182"/>
    <n v="0"/>
    <n v="10.2399997711182"/>
    <n v="0"/>
    <n v="10.2399997711182"/>
    <n v="0"/>
    <n v="1160.2100067138699"/>
    <n v="0"/>
    <s v="$0.00"/>
    <s v="$0.00"/>
    <s v="$0.00"/>
    <s v="0.00%"/>
    <n v="-8.8259881503018108E-3"/>
    <n v="69991.42"/>
    <n v="1490.19"/>
    <n v="0"/>
    <n v="0"/>
    <n v="1490.19"/>
    <n v="1"/>
    <n v="0"/>
    <n v="0"/>
    <n v="0"/>
    <n v="0"/>
    <n v="68501.23"/>
    <n v="0"/>
    <n v="0"/>
    <n v="0"/>
    <n v="0"/>
    <n v="0"/>
    <n v="0"/>
    <n v="2725.8"/>
    <n v="3.9791986216889834E-2"/>
    <s v="0.00"/>
    <s v="0.00"/>
    <s v="0.00"/>
    <n v="0"/>
  </r>
  <r>
    <x v="0"/>
    <x v="0"/>
    <x v="5"/>
    <n v="362916.28999997099"/>
    <n v="18603.009999999798"/>
    <n v="344313.27999997098"/>
    <n v="223449.06979494201"/>
    <n v="112819.949851561"/>
    <n v="110629.11994338001"/>
    <n v="8474.7799947261792"/>
    <n v="214974.28980021481"/>
    <n v="106767.790388465"/>
    <n v="2166.3799991607698"/>
    <n v="1826"/>
    <n v="198.74933734938156"/>
    <n v="139.09206988627875"/>
    <n v="122.37079397313308"/>
    <n v="0.61570416085472213"/>
    <n v="0.91015229989851265"/>
    <n v="307470.32"/>
    <n v="252224.57"/>
    <n v="11811.14"/>
    <n v="4.6827872478878638E-2"/>
    <n v="28847.02"/>
    <n v="0.1143703803320985"/>
    <n v="12226.2"/>
    <n v="4.8473469495854432E-2"/>
    <n v="2837.27"/>
    <n v="1.1248983396026802E-2"/>
    <n v="219584.7"/>
    <n v="16624.38"/>
    <n v="7.5708280221709431E-2"/>
    <n v="14423.63"/>
    <n v="6.5685951707928639E-2"/>
    <n v="11886.44"/>
    <n v="5.4131458157148468E-2"/>
    <n v="176650.25"/>
    <n v="0.80447430991321345"/>
    <n v="25.416631477194748"/>
    <n v="21.97631500010873"/>
    <n v="89.091630870489126"/>
    <n v="3.3367624491288196E-2"/>
  </r>
  <r>
    <x v="0"/>
    <x v="0"/>
    <x v="6"/>
    <n v="0"/>
    <n v="0"/>
    <n v="0"/>
    <n v="4053.1499996185298"/>
    <n v="1476.5299949646001"/>
    <n v="2576.6200046539302"/>
    <n v="1032.05999717861"/>
    <n v="3021.0900024399202"/>
    <n v="1599.51999512315"/>
    <n v="-290"/>
    <n v="0"/>
    <s v="$0.00"/>
    <s v="$0.00"/>
    <s v="$0.00"/>
    <s v="0.00%"/>
    <n v="-1.7309466313103854"/>
    <n v="77270.64"/>
    <n v="4857.47"/>
    <n v="923.34"/>
    <n v="0.19008660887252005"/>
    <n v="2361.17"/>
    <n v="0.48609049566955637"/>
    <n v="667.35"/>
    <n v="0.13738633486156374"/>
    <n v="484"/>
    <n v="9.9640347753048392E-2"/>
    <n v="72413.17"/>
    <n v="1672.7"/>
    <n v="2.3099389240935041E-2"/>
    <n v="1986.99"/>
    <n v="2.7439621825698281E-2"/>
    <n v="2658.92"/>
    <n v="3.6718735003591199E-2"/>
    <n v="7755.14"/>
    <n v="0.10709571200929334"/>
    <s v="0.00"/>
    <s v="0.00"/>
    <s v="0.00"/>
    <n v="-0.78812083895026963"/>
  </r>
  <r>
    <x v="0"/>
    <x v="0"/>
    <x v="7"/>
    <n v="0"/>
    <n v="0"/>
    <n v="0"/>
    <n v="10"/>
    <n v="0"/>
    <n v="10"/>
    <n v="80.690002441406307"/>
    <n v="-70.690002441406307"/>
    <n v="0"/>
    <n v="0"/>
    <n v="0"/>
    <s v="$0.00"/>
    <s v="$0.00"/>
    <s v="$0.00"/>
    <s v="0.00%"/>
    <n v="-0.12393109056182741"/>
    <n v="28367.360000000001"/>
    <n v="0"/>
    <n v="0"/>
    <s v="0.00%"/>
    <n v="0"/>
    <s v="0.00%"/>
    <n v="0"/>
    <n v="0"/>
    <n v="0"/>
    <s v="0.00%"/>
    <n v="28367.360000000001"/>
    <n v="0"/>
    <n v="0"/>
    <n v="0"/>
    <n v="0"/>
    <n v="0"/>
    <n v="0"/>
    <n v="2740.67"/>
    <n v="9.6613502278675212E-2"/>
    <s v="0.00"/>
    <s v="0.00"/>
    <s v="0.00"/>
    <s v="0.00%"/>
  </r>
  <r>
    <x v="0"/>
    <x v="0"/>
    <x v="8"/>
    <n v="274853.87999943597"/>
    <n v="13311"/>
    <n v="261542.879999436"/>
    <n v="170041.37976856501"/>
    <n v="98760.519769787803"/>
    <n v="71280.859998777494"/>
    <n v="5450.5899953842199"/>
    <n v="164590.78977318108"/>
    <n v="93848.720161952093"/>
    <n v="2053.02000427246"/>
    <n v="1370"/>
    <n v="200.62327007258099"/>
    <n v="130.62199987825653"/>
    <n v="124.11779545150752"/>
    <n v="0.6186610127858273"/>
    <n v="0.98005683480927885"/>
    <n v="233341.44"/>
    <n v="207436.7"/>
    <n v="5040.6499999999996"/>
    <n v="2.4299702029582999E-2"/>
    <n v="25714.479999999996"/>
    <n v="0.12396302100833649"/>
    <n v="5765.61"/>
    <n v="2.7794551301674193E-2"/>
    <n v="5640.65"/>
    <n v="2.7192150665721154E-2"/>
    <n v="174964.64"/>
    <n v="8328.2000000000007"/>
    <n v="4.759933207075441E-2"/>
    <n v="5197.8500000000004"/>
    <n v="2.9708002714148411E-2"/>
    <n v="7275.42"/>
    <n v="4.158223055812877E-2"/>
    <n v="154163.17000000001"/>
    <n v="0.88111043465696837"/>
    <n v="25.468962635762555"/>
    <n v="23.793807730546593"/>
    <n v="58.383457290962355"/>
    <n v="3.0458367250955073E-2"/>
  </r>
  <r>
    <x v="0"/>
    <x v="0"/>
    <x v="9"/>
    <n v="0"/>
    <n v="0"/>
    <n v="0"/>
    <n v="0"/>
    <n v="0"/>
    <n v="0"/>
    <n v="0"/>
    <n v="0"/>
    <n v="0"/>
    <n v="0"/>
    <n v="0"/>
    <s v="$0.00"/>
    <s v="$0.00"/>
    <s v="$0.00"/>
    <s v="0.00%"/>
    <s v="0.00%"/>
    <n v="35191.089999999997"/>
    <n v="0"/>
    <n v="0"/>
    <s v="0.00%"/>
    <n v="0"/>
    <s v="0.00%"/>
    <n v="0"/>
    <n v="0"/>
    <n v="0"/>
    <s v="0.00%"/>
    <n v="35191.089999999997"/>
    <n v="0"/>
    <n v="0"/>
    <n v="0"/>
    <n v="0"/>
    <n v="0"/>
    <n v="0"/>
    <n v="192.58"/>
    <n v="5.4724079305301437E-3"/>
    <s v="0.00"/>
    <s v="0.00"/>
    <s v="0.00"/>
    <s v="0.00%"/>
  </r>
  <r>
    <x v="0"/>
    <x v="0"/>
    <x v="10"/>
    <n v="246776.800001191"/>
    <n v="11624"/>
    <n v="235152.800001191"/>
    <n v="156520.129747845"/>
    <n v="94894.689750172198"/>
    <n v="61625.439997672998"/>
    <n v="4514.1500002145804"/>
    <n v="152005.97974763063"/>
    <n v="83221.580195337505"/>
    <n v="2842.76000213623"/>
    <n v="1403"/>
    <n v="175.89223093456238"/>
    <n v="114.5491516776317"/>
    <n v="111.56103331991818"/>
    <n v="0.63425787897034813"/>
    <n v="1.0020603292362598"/>
    <n v="236243.44999999998"/>
    <n v="204484.83"/>
    <n v="13717.28"/>
    <n v="6.7082140029654042E-2"/>
    <n v="27962.6"/>
    <n v="0.13674657430578102"/>
    <n v="8895.43"/>
    <n v="4.3501662201543265E-2"/>
    <n v="4850.6400000000003"/>
    <n v="2.3721270668342492E-2"/>
    <n v="194177.96"/>
    <n v="7784.18"/>
    <n v="4.0087865790741653E-2"/>
    <n v="7967.98"/>
    <n v="4.1034420178273578E-2"/>
    <n v="6144"/>
    <n v="3.1641078112057623E-2"/>
    <n v="172281.8"/>
    <n v="0.8872366359189271"/>
    <n v="28.719488622778943"/>
    <n v="26.087483967738972"/>
    <n v="81.964779766001385"/>
    <n v="2.8088363563894429E-2"/>
  </r>
  <r>
    <x v="0"/>
    <x v="0"/>
    <x v="11"/>
    <n v="0"/>
    <n v="0"/>
    <n v="0"/>
    <n v="0"/>
    <n v="0"/>
    <n v="0"/>
    <n v="0"/>
    <n v="0"/>
    <n v="0"/>
    <n v="939.52001953125"/>
    <n v="0"/>
    <s v="$0.00"/>
    <s v="$0.00"/>
    <s v="$0.00"/>
    <s v="0.00%"/>
    <n v="0"/>
    <n v="23573.29"/>
    <n v="157"/>
    <n v="0"/>
    <n v="0"/>
    <n v="157"/>
    <n v="1"/>
    <n v="0"/>
    <n v="0"/>
    <n v="0"/>
    <n v="0"/>
    <n v="23416.29"/>
    <n v="0"/>
    <n v="0"/>
    <n v="0"/>
    <n v="0"/>
    <n v="0"/>
    <n v="0"/>
    <n v="4398.88"/>
    <n v="0.18785554842376823"/>
    <s v="0.00"/>
    <s v="0.00"/>
    <s v="0.00"/>
    <n v="0"/>
  </r>
  <r>
    <x v="0"/>
    <x v="0"/>
    <x v="12"/>
    <n v="270554.89999998"/>
    <n v="15217"/>
    <n v="255337.89999998"/>
    <n v="156046.61004394101"/>
    <n v="82495.020017433897"/>
    <n v="73551.590026507198"/>
    <n v="4993.2299866862604"/>
    <n v="151053.38005725484"/>
    <n v="73855.280148219303"/>
    <n v="1914.9199876785301"/>
    <n v="1488"/>
    <n v="181.82452956987902"/>
    <n v="130.90369614521651"/>
    <n v="104.87003363168084"/>
    <n v="0.57676504858700628"/>
    <n v="0.82220033463435549"/>
    <n v="243488.44"/>
    <n v="227702.64"/>
    <n v="8779.6200000000008"/>
    <n v="3.855739221995845E-2"/>
    <n v="41680.93"/>
    <n v="0.18304983200897451"/>
    <n v="11599.51"/>
    <n v="5.0941482277060995E-2"/>
    <n v="6018.63"/>
    <n v="2.6431972857231693E-2"/>
    <n v="232356.03"/>
    <n v="12297.69"/>
    <n v="5.2926063506938043E-2"/>
    <n v="6696.8"/>
    <n v="2.8821287745362151E-2"/>
    <n v="8165.03"/>
    <n v="3.5140168301205699E-2"/>
    <n v="205196.51"/>
    <n v="0.88311248044649415"/>
    <n v="26.998783611017728"/>
    <n v="26.753095408086836"/>
    <n v="31.121377406847603"/>
    <n v="2.5634610881503841E-2"/>
  </r>
  <r>
    <x v="0"/>
    <x v="0"/>
    <x v="13"/>
    <n v="139324.92999999001"/>
    <n v="7913"/>
    <n v="131411.92999999001"/>
    <n v="88975.919812351494"/>
    <n v="45564.329833656499"/>
    <n v="43411.589978694901"/>
    <n v="3648.6200084686302"/>
    <n v="85327.299803882779"/>
    <n v="42870.320166885896"/>
    <n v="1994.2799892425501"/>
    <n v="860"/>
    <n v="162.00573255812793"/>
    <n v="109.83759284169949"/>
    <n v="103.46037187482722"/>
    <n v="0.63862167246276591"/>
    <n v="0.97978465523478064"/>
    <n v="135550.63"/>
    <n v="119804"/>
    <n v="7091.22"/>
    <n v="5.9190177289572973E-2"/>
    <n v="19825.47"/>
    <n v="0.16548253814563788"/>
    <n v="4652.62"/>
    <n v="3.8835264264966113E-2"/>
    <n v="2354.7199999999998"/>
    <n v="1.9654769456779405E-2"/>
    <n v="67333.7"/>
    <n v="8364.2999999999993"/>
    <n v="0.12422160077346113"/>
    <n v="10323.209999999999"/>
    <n v="0.153314165120883"/>
    <n v="6607.98"/>
    <n v="9.8137782418016531E-2"/>
    <n v="42038.21"/>
    <n v="0.62432645168763934"/>
    <n v="29.187302660050086"/>
    <n v="27.350028266081118"/>
    <n v="59.699090104890686"/>
    <n v="3.8625950327503891E-2"/>
  </r>
  <r>
    <x v="0"/>
    <x v="0"/>
    <x v="14"/>
    <n v="0"/>
    <n v="0"/>
    <n v="0"/>
    <n v="8046.2800827026404"/>
    <n v="5908.4200801849402"/>
    <n v="2137.8600025177002"/>
    <n v="945.790000915527"/>
    <n v="7100.490081787113"/>
    <n v="5424.6399926543199"/>
    <n v="311.61999893188499"/>
    <n v="0"/>
    <s v="$0.00"/>
    <s v="$0.00"/>
    <s v="$0.00"/>
    <s v="0.00%"/>
    <n v="-1.2041634066988096"/>
    <n v="33542.14"/>
    <n v="10714.24"/>
    <n v="1819.85"/>
    <n v="0.16985339137446986"/>
    <n v="5246.17"/>
    <n v="0.48964462248372259"/>
    <n v="1307.98"/>
    <n v="0.12207865420225793"/>
    <n v="828.59"/>
    <n v="7.7335396631025635E-2"/>
    <n v="22827.9"/>
    <n v="2762.36"/>
    <n v="0.1210080646927663"/>
    <n v="2351.3200000000002"/>
    <n v="0.10300202821985377"/>
    <n v="2981.22"/>
    <n v="0.13059545556095828"/>
    <n v="13220.85"/>
    <n v="0.57915314155047115"/>
    <s v="0.00"/>
    <s v="0.00"/>
    <s v="0.00"/>
    <n v="-0.16487920741088913"/>
  </r>
  <r>
    <x v="0"/>
    <x v="0"/>
    <x v="15"/>
    <n v="0"/>
    <n v="0"/>
    <n v="0"/>
    <n v="0"/>
    <n v="0"/>
    <n v="0"/>
    <n v="0"/>
    <n v="0"/>
    <n v="0"/>
    <n v="0"/>
    <n v="0"/>
    <s v="$0.00"/>
    <s v="$0.00"/>
    <s v="$0.00"/>
    <s v="0.00%"/>
    <s v="0.00%"/>
    <n v="21112.61"/>
    <n v="0"/>
    <n v="0"/>
    <s v="0.00%"/>
    <n v="0"/>
    <s v="0.00%"/>
    <n v="0"/>
    <n v="0"/>
    <n v="0"/>
    <s v="0.00%"/>
    <n v="21112.61"/>
    <n v="0"/>
    <n v="0"/>
    <n v="0"/>
    <n v="0"/>
    <n v="0"/>
    <n v="0"/>
    <n v="538.66"/>
    <n v="2.5513662214193315E-2"/>
    <s v="0.00"/>
    <s v="0.00"/>
    <s v="0.00"/>
    <s v="0.00%"/>
  </r>
  <r>
    <x v="0"/>
    <x v="0"/>
    <x v="16"/>
    <n v="118781.649999997"/>
    <n v="9404"/>
    <n v="109377.649999997"/>
    <n v="76194.749950408906"/>
    <n v="30436.9399596453"/>
    <n v="45757.809990763701"/>
    <n v="7039.6699910163898"/>
    <n v="69155.079959392606"/>
    <n v="26058.9800481889"/>
    <n v="1013.51000165939"/>
    <n v="654"/>
    <n v="181.62331804280888"/>
    <n v="140.22807331827019"/>
    <n v="116.5057338691269"/>
    <n v="0.64146903120482768"/>
    <n v="0.89990798323204901"/>
    <n v="134510.58000000002"/>
    <n v="94768.73"/>
    <n v="8879.3799999999992"/>
    <n v="9.3695251587733633E-2"/>
    <n v="17299"/>
    <n v="0.18253911390392169"/>
    <n v="3600.94"/>
    <n v="3.7997132598484758E-2"/>
    <n v="4659.1099999999997"/>
    <n v="4.9162946469790192E-2"/>
    <n v="131733.32"/>
    <n v="6761.58"/>
    <n v="5.132778859593002E-2"/>
    <n v="5966.64"/>
    <n v="4.5293324422401256E-2"/>
    <n v="3910.41"/>
    <n v="2.9684289441729697E-2"/>
    <n v="115094.69"/>
    <n v="0.87369459753993894"/>
    <n v="33.972565627772497"/>
    <n v="25.993079024828912"/>
    <n v="420.24666099532118"/>
    <n v="7.6760816420551839E-2"/>
  </r>
  <r>
    <x v="0"/>
    <x v="1"/>
    <x v="17"/>
    <n v="398147.05006678822"/>
    <n v="14311.50999832153"/>
    <n v="383835.54006846662"/>
    <n v="199122.68057173467"/>
    <n v="112103.88050955537"/>
    <n v="87018.800062179595"/>
    <n v="14894.560002774"/>
    <n v="184228.12056896096"/>
    <n v="77291.699875175953"/>
    <n v="5989.76000022888"/>
    <n v="2183"/>
    <n v="182.38527259129094"/>
    <n v="144.23526806751411"/>
    <n v="91.215153720446622"/>
    <n v="0.50012346076238068"/>
    <n v="0.66380636972355267"/>
    <n v="452357.91"/>
    <n v="420796.08999999997"/>
    <n v="20979.87"/>
    <n v="4.9857568781116766E-2"/>
    <n v="16297.720000000001"/>
    <n v="3.8730683072649277E-2"/>
    <n v="16487.62"/>
    <n v="3.9181970535895429E-2"/>
    <n v="-189.9"/>
    <n v="-4.5128746324615333E-4"/>
    <n v="31561.82"/>
    <n v="12873"/>
    <n v="0.40786621303841158"/>
    <n v="10067.31"/>
    <n v="0.31897114931901899"/>
    <n v="822.2"/>
    <n v="2.605046223570124E-2"/>
    <n v="0"/>
    <n v="0"/>
    <n v="34.084736525671964"/>
    <n v="32.888780173269566"/>
    <n v="66.160356252488256"/>
    <n v="4.7304502196383873E-2"/>
  </r>
  <r>
    <x v="0"/>
    <x v="2"/>
    <x v="18"/>
    <n v="0"/>
    <n v="0"/>
    <n v="0"/>
    <n v="1244.7200088500999"/>
    <n v="9"/>
    <n v="1235.7200088500999"/>
    <n v="0"/>
    <n v="1244.7200088500999"/>
    <n v="0"/>
    <n v="0"/>
    <n v="0"/>
    <s v="$0.00"/>
    <s v="$0.00"/>
    <s v="$0.00"/>
    <s v="0.00%"/>
    <s v="0.00%"/>
    <n v="4620.1100000000006"/>
    <n v="7.55"/>
    <n v="0"/>
    <n v="0"/>
    <n v="7.55"/>
    <n v="1"/>
    <n v="0"/>
    <n v="0"/>
    <n v="0"/>
    <n v="0"/>
    <n v="4612.5600000000004"/>
    <n v="0"/>
    <n v="0"/>
    <n v="0"/>
    <n v="0"/>
    <n v="0"/>
    <n v="0"/>
    <n v="2034.89"/>
    <n v="0.44116282498222242"/>
    <s v="0.00"/>
    <s v="0.00"/>
    <s v="0.00"/>
    <s v="0.00%"/>
  </r>
  <r>
    <x v="0"/>
    <x v="2"/>
    <x v="19"/>
    <n v="115903.459999457"/>
    <n v="8708"/>
    <n v="107195.459999457"/>
    <n v="63233.870308486701"/>
    <n v="32272.2802565973"/>
    <n v="30961.590051889401"/>
    <n v="2584.1799993515001"/>
    <n v="60649.6903091352"/>
    <n v="30391.749695511498"/>
    <n v="1252"/>
    <n v="809"/>
    <n v="143.26756489426083"/>
    <n v="104.152917557411"/>
    <n v="78.163004089600378"/>
    <n v="0.54557362056993763"/>
    <n v="0.77420826130748721"/>
    <n v="132094.03"/>
    <n v="76704.490000000005"/>
    <n v="2389.13"/>
    <n v="3.1147198814567439E-2"/>
    <n v="9991.86"/>
    <n v="0.13026434306518431"/>
    <n v="2366.5300000000002"/>
    <n v="3.0852561564518582E-2"/>
    <n v="1552"/>
    <n v="2.0233496109549779E-2"/>
    <n v="55389.54"/>
    <n v="3132.24"/>
    <n v="5.65493051576164E-2"/>
    <n v="5109.05"/>
    <n v="9.2238534568079095E-2"/>
    <n v="3227.43"/>
    <n v="5.8267860682720961E-2"/>
    <n v="54397.599999999999"/>
    <n v="0.98209156458060487"/>
    <n v="34.1907040567949"/>
    <n v="21.466717900288469"/>
    <n v="190.82294441892515"/>
    <n v="3.0669224829158886E-2"/>
  </r>
  <r>
    <x v="0"/>
    <x v="2"/>
    <x v="20"/>
    <n v="0"/>
    <n v="0"/>
    <n v="0"/>
    <n v="501.23000240325899"/>
    <n v="112.98999786377"/>
    <n v="388.24000453948997"/>
    <n v="317.72000503539999"/>
    <n v="183.50999736785997"/>
    <n v="71.449996948242202"/>
    <n v="477"/>
    <n v="0"/>
    <s v="$0.00"/>
    <s v="$0.00"/>
    <s v="$0.00"/>
    <s v="0.00%"/>
    <n v="-0.57867393381827814"/>
    <n v="2551.61"/>
    <n v="1628.02"/>
    <n v="0"/>
    <n v="0"/>
    <n v="1192.5999999999999"/>
    <n v="0.73254628321519388"/>
    <n v="0"/>
    <n v="0"/>
    <n v="-88.92"/>
    <n v="0"/>
    <n v="7197.76"/>
    <n v="174"/>
    <n v="2.417418752500778E-2"/>
    <n v="98.62"/>
    <n v="1.370148490641533E-2"/>
    <n v="112.55"/>
    <n v="1.5636809229538078E-2"/>
    <n v="6812.59"/>
    <n v="0.94648751833903877"/>
    <s v="0.00"/>
    <s v="0.00"/>
    <s v="0.00"/>
    <n v="-0.57930532738316998"/>
  </r>
  <r>
    <x v="0"/>
    <x v="2"/>
    <x v="21"/>
    <n v="197216.25999945001"/>
    <n v="10620"/>
    <n v="186596.25999945001"/>
    <n v="114294.760466248"/>
    <n v="50498.490367025101"/>
    <n v="63796.270099222696"/>
    <n v="7047.0399808287602"/>
    <n v="107247.72048541903"/>
    <n v="54190.589440196803"/>
    <n v="2100.4100036621098"/>
    <n v="1042"/>
    <n v="189.26704414534549"/>
    <n v="135.24497174240986"/>
    <n v="109.68786992922054"/>
    <n v="0.57954024919936387"/>
    <n v="0.85372183746960972"/>
    <n v="138279.44"/>
    <n v="117593.18"/>
    <n v="1201.19"/>
    <n v="1.0214793068781711E-2"/>
    <n v="15445.77"/>
    <n v="0.13134919899266267"/>
    <n v="4232.59"/>
    <n v="3.5993498942710797E-2"/>
    <n v="2496.5700000000002"/>
    <n v="2.1230567963210115E-2"/>
    <n v="98535.18"/>
    <n v="6571.18"/>
    <n v="6.6688668960669689E-2"/>
    <n v="5887.88"/>
    <n v="5.975408985907369E-2"/>
    <n v="5016.58"/>
    <n v="5.0911562753526207E-2"/>
    <n v="81059.539999999994"/>
    <n v="0.82264567842673042"/>
    <n v="21.034691561494821"/>
    <n v="18.906034879854495"/>
    <n v="58.435762711864413"/>
    <n v="5.0005513227693484E-2"/>
  </r>
  <r>
    <x v="0"/>
    <x v="2"/>
    <x v="22"/>
    <n v="0"/>
    <n v="0"/>
    <n v="0"/>
    <n v="534.68999576568604"/>
    <n v="156.219997406006"/>
    <n v="378.46999835968001"/>
    <n v="288.67000579834001"/>
    <n v="246.01998996734602"/>
    <n v="330.16999816894503"/>
    <n v="0"/>
    <n v="0"/>
    <s v="$0.00"/>
    <s v="$0.00"/>
    <s v="$0.00"/>
    <s v="0.00%"/>
    <n v="-0.86401976655981083"/>
    <n v="19886.47"/>
    <n v="2931.76"/>
    <n v="0"/>
    <n v="0"/>
    <n v="2931.7599999999998"/>
    <n v="0.99999999999999989"/>
    <n v="155"/>
    <n v="5.2869266242802956E-2"/>
    <n v="291.10000000000002"/>
    <n v="9.9291892924386713E-2"/>
    <n v="16954.71"/>
    <n v="580.24"/>
    <n v="3.4222938640649118E-2"/>
    <n v="839.31"/>
    <n v="4.9503058442167396E-2"/>
    <n v="90.61"/>
    <n v="5.3442376779077915E-3"/>
    <n v="10284.799999999999"/>
    <n v="0.60660430051590386"/>
    <s v="0.00"/>
    <s v="0.00"/>
    <s v="0.00"/>
    <n v="-0.8743071975020279"/>
  </r>
  <r>
    <x v="0"/>
    <x v="2"/>
    <x v="23"/>
    <n v="128362.679999452"/>
    <n v="4235"/>
    <n v="124127.679999452"/>
    <n v="73777.490335613504"/>
    <n v="41313.180274158702"/>
    <n v="32464.310061454798"/>
    <n v="3519.29000031948"/>
    <n v="70258.200335294023"/>
    <n v="42926.279504556202"/>
    <n v="1764.7799997329701"/>
    <n v="653"/>
    <n v="196.57378254127411"/>
    <n v="128.1341814627302"/>
    <n v="112.98237417398698"/>
    <n v="0.5747581020895518"/>
    <n v="0.92046594129112735"/>
    <n v="91548.06"/>
    <n v="87103.79"/>
    <n v="1889.04"/>
    <n v="2.1687230831172789E-2"/>
    <n v="8798.76"/>
    <n v="0.10101466308182458"/>
    <n v="1938.13"/>
    <n v="2.225081135964348E-2"/>
    <n v="124.59"/>
    <n v="1.4303625594247968E-3"/>
    <n v="64894.69"/>
    <n v="3081.13"/>
    <n v="4.7478923159968864E-2"/>
    <n v="3753.19"/>
    <n v="5.783508635298204E-2"/>
    <n v="1684.43"/>
    <n v="2.5956360990398445E-2"/>
    <n v="56375.94"/>
    <n v="0.86872962949665067"/>
    <n v="21.395952468519081"/>
    <n v="21.051820996022293"/>
    <n v="31.482432113341197"/>
    <n v="4.2060736716852946E-2"/>
  </r>
  <r>
    <x v="0"/>
    <x v="2"/>
    <x v="24"/>
    <n v="79419.769999461205"/>
    <n v="4465"/>
    <n v="74954.769999461205"/>
    <n v="50634.850267052701"/>
    <n v="25691.230211019501"/>
    <n v="24943.620056033102"/>
    <n v="2665.4300035238298"/>
    <n v="47969.42026352878"/>
    <n v="22070.1697616577"/>
    <n v="936"/>
    <n v="419"/>
    <n v="189.54599045217472"/>
    <n v="134.638664052037"/>
    <n v="120.84689801205873"/>
    <n v="0.63755976965680106"/>
    <n v="0.94207579618698445"/>
    <n v="59515.770000000004"/>
    <n v="43450.42"/>
    <n v="370.81"/>
    <n v="8.5340947222144227E-3"/>
    <n v="4536.0599999999995"/>
    <n v="0.10439622908132994"/>
    <n v="1731.53"/>
    <n v="3.9850708002362234E-2"/>
    <n v="617"/>
    <n v="1.420009288747957E-2"/>
    <n v="16065.350000000002"/>
    <n v="2691.24"/>
    <n v="0.16751829247417574"/>
    <n v="2580.71"/>
    <n v="0.16063826807383591"/>
    <n v="3593.66"/>
    <n v="0.22369011568375413"/>
    <n v="14558.59"/>
    <n v="0.90621057119826198"/>
    <n v="22.481469034877751"/>
    <n v="17.3906557249041"/>
    <n v="107.94188129899217"/>
    <n v="4.7248003890694598E-2"/>
  </r>
  <r>
    <x v="0"/>
    <x v="2"/>
    <x v="25"/>
    <n v="51422.079999998197"/>
    <n v="4028"/>
    <n v="47394.079999998197"/>
    <n v="21848.730078816399"/>
    <n v="9407.8700801134091"/>
    <n v="12440.859998702999"/>
    <n v="30"/>
    <n v="21818.730078816407"/>
    <n v="9882.3599233627301"/>
    <n v="302"/>
    <n v="290"/>
    <n v="177.31751724137308"/>
    <n v="142.19903474701886"/>
    <n v="75.340448547642779"/>
    <n v="0.42489004876537806"/>
    <n v="0.53020963154922296"/>
    <n v="38369.79"/>
    <n v="27219.93"/>
    <n v="0"/>
    <n v="0"/>
    <n v="0"/>
    <n v="0"/>
    <n v="0"/>
    <n v="0"/>
    <n v="0"/>
    <n v="0"/>
    <n v="11149.860000000002"/>
    <n v="0"/>
    <n v="0"/>
    <n v="0"/>
    <n v="0"/>
    <n v="0"/>
    <n v="0"/>
    <n v="0"/>
    <n v="0"/>
    <n v="22.38520301006961"/>
    <n v="17.229955724428685"/>
    <n v="83.042651439920576"/>
    <n v="7.2748929728046359E-4"/>
  </r>
  <r>
    <x v="0"/>
    <x v="2"/>
    <x v="26"/>
    <n v="92471.249999994398"/>
    <n v="4849"/>
    <n v="87622.249999994398"/>
    <n v="50905.0301878545"/>
    <n v="23440.470156917301"/>
    <n v="27464.560030937198"/>
    <n v="2975.0100030898998"/>
    <n v="47930.020184764602"/>
    <n v="24333.529777756001"/>
    <n v="794.01000022888195"/>
    <n v="480"/>
    <n v="192.64843749998832"/>
    <n v="140.29939629585314"/>
    <n v="106.05214622469687"/>
    <n v="0.55049575071016754"/>
    <n v="0.79083514215333195"/>
    <n v="65126.34"/>
    <n v="51837.11"/>
    <n v="822.57"/>
    <n v="1.5868361488516624E-2"/>
    <n v="2771.31"/>
    <n v="5.3461892455038483E-2"/>
    <n v="798.81"/>
    <n v="1.5410002602382731E-2"/>
    <n v="619"/>
    <n v="1.1941252126131259E-2"/>
    <n v="13289.23"/>
    <n v="2078.69"/>
    <n v="0.15641914542829044"/>
    <n v="1823.4"/>
    <n v="0.13720885258212856"/>
    <n v="1600.51"/>
    <n v="0.12043662424384258"/>
    <n v="2528.29"/>
    <n v="0.19025105292029712"/>
    <n v="21.128623220732045"/>
    <n v="17.747927039080821"/>
    <n v="82.218374922664466"/>
    <n v="4.4176508738266645E-2"/>
  </r>
  <r>
    <x v="0"/>
    <x v="2"/>
    <x v="27"/>
    <n v="99912.1399999969"/>
    <n v="5263"/>
    <n v="94649.1399999969"/>
    <n v="56136.130357004702"/>
    <n v="29676.770307779301"/>
    <n v="26459.360049225401"/>
    <n v="2738.3399982638698"/>
    <n v="53397.790358740829"/>
    <n v="29703.189603805498"/>
    <n v="1028.7000007629399"/>
    <n v="627"/>
    <n v="159.34950558213222"/>
    <n v="110.33532758441541"/>
    <n v="89.53130838437751"/>
    <n v="0.56185494932854452"/>
    <n v="0.84489037147553647"/>
    <n v="89239.22"/>
    <n v="60513.79"/>
    <n v="1393.7"/>
    <n v="2.3031114065075086E-2"/>
    <n v="6654.92"/>
    <n v="0.10997361097363097"/>
    <n v="1944.56"/>
    <n v="3.2134163138682934E-2"/>
    <n v="863.94"/>
    <n v="1.4276745845864225E-2"/>
    <n v="28725.43"/>
    <n v="3264.51"/>
    <n v="0.11364529617137151"/>
    <n v="3166.79"/>
    <n v="0.11024343238726104"/>
    <n v="2018.97"/>
    <n v="7.0285109744223154E-2"/>
    <n v="12442.12"/>
    <n v="0.43313955613545213"/>
    <n v="26.795308357924103"/>
    <n v="19.180456367591503"/>
    <n v="163.73986319589588"/>
    <n v="3.9582684113048883E-2"/>
  </r>
  <r>
    <x v="0"/>
    <x v="3"/>
    <x v="28"/>
    <n v="95663.209999995306"/>
    <n v="6883"/>
    <n v="88780.209999995306"/>
    <n v="61707.179820060701"/>
    <n v="31545.489849090602"/>
    <n v="30161.689970970201"/>
    <n v="3206.4099993109699"/>
    <n v="58500.769820749832"/>
    <n v="33512.270074844397"/>
    <n v="599"/>
    <n v="471"/>
    <n v="203.1066029723892"/>
    <n v="130.68352425722063"/>
    <n v="131.01312063707178"/>
    <n v="0.64504609264171497"/>
    <n v="1.0576162372420592"/>
    <n v="98165.42"/>
    <n v="59815.3"/>
    <n v="1339.54"/>
    <n v="2.239460472487808E-2"/>
    <n v="3753.6600000000003"/>
    <n v="6.2754178278801573E-2"/>
    <n v="1488.41"/>
    <n v="2.4883432834074227E-2"/>
    <n v="510.1"/>
    <n v="8.5279184422714597E-3"/>
    <n v="38350.119999999995"/>
    <n v="1933.05"/>
    <n v="5.0405318158065746E-2"/>
    <n v="2042.61"/>
    <n v="5.3262154068879061E-2"/>
    <n v="2621.7"/>
    <n v="6.8362237197693257E-2"/>
    <n v="5879.02"/>
    <n v="0.15329860767058881"/>
    <n v="30.784693509658986"/>
    <n v="20.212376159057239"/>
    <n v="167.15147464768268"/>
    <n v="5.2092752936951543E-2"/>
  </r>
  <r>
    <x v="0"/>
    <x v="3"/>
    <x v="29"/>
    <n v="181388.119999997"/>
    <n v="8847"/>
    <n v="172541.119999997"/>
    <n v="114856.74977636299"/>
    <n v="56265.249784946398"/>
    <n v="58591.499991416902"/>
    <n v="6764.3199934959403"/>
    <n v="108092.42978286736"/>
    <n v="53727.380167007403"/>
    <n v="1257"/>
    <n v="935"/>
    <n v="193.99798930480964"/>
    <n v="135.19116559678031"/>
    <n v="122.84144361108375"/>
    <n v="0.63320988042858151"/>
    <n v="0.96002429575848236"/>
    <n v="161160.13"/>
    <n v="107583.08"/>
    <n v="1358.52"/>
    <n v="1.2627636241684101E-2"/>
    <n v="8612.33"/>
    <n v="8.0052829868786063E-2"/>
    <n v="3392.68"/>
    <n v="3.1535442190351863E-2"/>
    <n v="1211.27"/>
    <n v="1.1258926589571519E-2"/>
    <n v="53577.049999999996"/>
    <n v="6230.17"/>
    <n v="0.11628430456697411"/>
    <n v="5669.27"/>
    <n v="0.1058152697843573"/>
    <n v="4275.43"/>
    <n v="7.9799653023076123E-2"/>
    <n v="34634.519999999997"/>
    <n v="0.64644320655952503"/>
    <n v="26.654468330120405"/>
    <n v="18.705641878295772"/>
    <n v="181.67870464564257"/>
    <n v="5.3513606499564562E-2"/>
  </r>
  <r>
    <x v="0"/>
    <x v="3"/>
    <x v="30"/>
    <n v="136369.40999998001"/>
    <n v="7072"/>
    <n v="129297.40999997999"/>
    <n v="81660.049799040004"/>
    <n v="43551.9497900754"/>
    <n v="38108.100008964502"/>
    <n v="3904.8700079917899"/>
    <n v="77755.179791048111"/>
    <n v="44807.010177308701"/>
    <n v="827.459999084473"/>
    <n v="645"/>
    <n v="211.42544186043412"/>
    <n v="140.67432530788659"/>
    <n v="126.60472837060451"/>
    <n v="0.59881501136546589"/>
    <n v="0.94045818427262629"/>
    <n v="109429.01000000001"/>
    <n v="83541.25"/>
    <n v="2456.1999999999998"/>
    <n v="2.9401044394236377E-2"/>
    <n v="2377.15"/>
    <n v="2.8454805260874121E-2"/>
    <n v="2209.61"/>
    <n v="2.6449328924333788E-2"/>
    <n v="167.54"/>
    <n v="2.0054763365403316E-3"/>
    <n v="25887.760000000002"/>
    <n v="4152.0200000000004"/>
    <n v="0.16038544856719933"/>
    <n v="2488.5700000000002"/>
    <n v="9.6129213188008544E-2"/>
    <n v="2374.3200000000002"/>
    <n v="9.171593061740374E-2"/>
    <n v="0"/>
    <n v="0"/>
    <n v="24.073362933816913"/>
    <n v="19.383508919477876"/>
    <n v="109.81798642533938"/>
    <n v="4.3036012539203847E-2"/>
  </r>
  <r>
    <x v="0"/>
    <x v="3"/>
    <x v="31"/>
    <n v="179369.20999999499"/>
    <n v="10198"/>
    <n v="169171.20999999499"/>
    <n v="105050.10969212699"/>
    <n v="54574.259679347299"/>
    <n v="50475.850012779199"/>
    <n v="4575.3700042367"/>
    <n v="100474.7396878898"/>
    <n v="53583.430195827001"/>
    <n v="817.06999969482399"/>
    <n v="1066"/>
    <n v="168.26379924952624"/>
    <n v="117.23143508862397"/>
    <n v="98.546069129574576"/>
    <n v="0.58566411533021434"/>
    <n v="0.87255748421326029"/>
    <n v="136651.60999999999"/>
    <n v="121203.87"/>
    <n v="10025.9"/>
    <n v="8.2719305909951552E-2"/>
    <n v="5937.17"/>
    <n v="4.8984987030529635E-2"/>
    <n v="3745.49"/>
    <n v="3.0902396103358744E-2"/>
    <n v="1269.79"/>
    <n v="1.0476480660229744E-2"/>
    <n v="15447.740000000002"/>
    <n v="4681.93"/>
    <n v="0.30308187475967358"/>
    <n v="3626.19"/>
    <n v="0.23473919162285226"/>
    <n v="5049.7700000000004"/>
    <n v="0.32689377216343618"/>
    <n v="6443.91"/>
    <n v="0.41714257231154844"/>
    <n v="22.855362411420078"/>
    <n v="21.493705105024123"/>
    <n v="45.443439890174552"/>
    <n v="3.6612124838252338E-2"/>
  </r>
  <r>
    <x v="0"/>
    <x v="3"/>
    <x v="32"/>
    <n v="0"/>
    <n v="0"/>
    <n v="0"/>
    <n v="0"/>
    <n v="0"/>
    <n v="0"/>
    <n v="0"/>
    <n v="0"/>
    <n v="0"/>
    <n v="0"/>
    <n v="0"/>
    <s v="$0.00"/>
    <s v="$0.00"/>
    <s v="$0.00"/>
    <s v="0.00%"/>
    <s v="0.00%"/>
    <n v="32622.950000000004"/>
    <n v="0"/>
    <n v="0"/>
    <s v="0.00%"/>
    <n v="0"/>
    <s v="0.00%"/>
    <n v="0"/>
    <n v="0"/>
    <n v="0"/>
    <s v="0.00%"/>
    <n v="32622.950000000004"/>
    <n v="0"/>
    <n v="0"/>
    <n v="0"/>
    <n v="0"/>
    <n v="0"/>
    <n v="0"/>
    <n v="0"/>
    <n v="0"/>
    <s v="0.00"/>
    <s v="0.00"/>
    <s v="0.00"/>
    <s v="0.00%"/>
  </r>
  <r>
    <x v="0"/>
    <x v="3"/>
    <x v="33"/>
    <n v="105534.059999987"/>
    <n v="6163"/>
    <n v="99371.059999987498"/>
    <n v="58979.529853537701"/>
    <n v="28927.119840338801"/>
    <n v="30052.4100131989"/>
    <n v="2052.57000586391"/>
    <n v="56926.959847673788"/>
    <n v="29513.1200804859"/>
    <n v="525"/>
    <n v="502"/>
    <n v="210.22721115535359"/>
    <n v="150.39031856474423"/>
    <n v="117.4891032938998"/>
    <n v="0.55886724962106726"/>
    <n v="0.8030613236142613"/>
    <n v="93375.22"/>
    <n v="58991.29"/>
    <n v="311.69"/>
    <n v="5.2836613676357979E-3"/>
    <n v="0"/>
    <n v="0"/>
    <n v="0"/>
    <n v="0"/>
    <n v="0"/>
    <n v="0"/>
    <n v="34383.93"/>
    <n v="1654.37"/>
    <n v="4.8114627967192812E-2"/>
    <n v="786.96"/>
    <n v="2.2887436078423844E-2"/>
    <n v="0"/>
    <n v="0"/>
    <n v="0"/>
    <n v="0"/>
    <n v="26.543625820899386"/>
    <n v="17.809397424161752"/>
    <n v="167.37269187084212"/>
    <n v="2.718781974305505E-2"/>
  </r>
  <r>
    <x v="0"/>
    <x v="3"/>
    <x v="34"/>
    <n v="40684.559999998703"/>
    <n v="1400"/>
    <n v="39284.559999998703"/>
    <n v="24735.509938061201"/>
    <n v="15004.829940617101"/>
    <n v="9730.6799974441492"/>
    <n v="517.55000263452496"/>
    <n v="24217.959935426727"/>
    <n v="14863.220062255899"/>
    <n v="237"/>
    <n v="244"/>
    <n v="166.73999999999469"/>
    <n v="104.85385220386395"/>
    <n v="101.37504072975923"/>
    <n v="0.6079827319765051"/>
    <n v="0.9867841076617857"/>
    <n v="22036.6"/>
    <n v="22036.6"/>
    <n v="0"/>
    <n v="0"/>
    <n v="0"/>
    <n v="0"/>
    <n v="0"/>
    <n v="0"/>
    <n v="0"/>
    <n v="0"/>
    <n v="0"/>
    <n v="0"/>
    <s v="0.00%"/>
    <n v="0"/>
    <s v="0.00%"/>
    <n v="0"/>
    <n v="0"/>
    <n v="0"/>
    <s v="0.00%"/>
    <n v="16.249358478991073"/>
    <n v="16.828443541178054"/>
    <n v="0"/>
    <n v="2.0229171590665871E-2"/>
  </r>
  <r>
    <x v="0"/>
    <x v="3"/>
    <x v="35"/>
    <n v="0"/>
    <n v="0"/>
    <n v="0"/>
    <n v="0"/>
    <n v="0"/>
    <n v="0"/>
    <n v="0"/>
    <n v="0"/>
    <n v="0"/>
    <n v="0"/>
    <n v="0"/>
    <s v="$0.00"/>
    <s v="$0.00"/>
    <s v="$0.00"/>
    <s v="0.00%"/>
    <s v="0.00%"/>
    <n v="0"/>
    <n v="0"/>
    <n v="0"/>
    <s v="0.00%"/>
    <n v="0"/>
    <s v="0.00%"/>
    <n v="0"/>
    <n v="0"/>
    <n v="0"/>
    <s v="0.00%"/>
    <n v="0"/>
    <n v="0"/>
    <s v="0.00%"/>
    <n v="0"/>
    <s v="0.00%"/>
    <n v="0"/>
    <n v="0"/>
    <n v="0"/>
    <s v="0.00%"/>
    <s v="0.00"/>
    <s v="0.00"/>
    <s v="0.00"/>
    <s v="0.00%"/>
  </r>
  <r>
    <x v="0"/>
    <x v="3"/>
    <x v="36"/>
    <n v="0"/>
    <n v="0"/>
    <n v="0"/>
    <n v="0"/>
    <n v="0"/>
    <n v="0"/>
    <n v="0"/>
    <n v="0"/>
    <n v="0"/>
    <n v="0"/>
    <n v="0"/>
    <s v="$0.00"/>
    <s v="$0.00"/>
    <s v="$0.00"/>
    <s v="0.00%"/>
    <s v="0.00%"/>
    <n v="0"/>
    <n v="0"/>
    <n v="0"/>
    <s v="0.00%"/>
    <n v="0"/>
    <s v="0.00%"/>
    <n v="0"/>
    <n v="0"/>
    <n v="0"/>
    <s v="0.00%"/>
    <n v="0"/>
    <n v="0"/>
    <s v="0.00%"/>
    <n v="0"/>
    <s v="0.00%"/>
    <n v="0"/>
    <n v="0"/>
    <n v="0"/>
    <s v="0.00%"/>
    <s v="0.00"/>
    <s v="0.00"/>
    <s v="0.00"/>
    <s v="0.00%"/>
  </r>
  <r>
    <x v="0"/>
    <x v="4"/>
    <x v="37"/>
    <n v="3967"/>
    <n v="472"/>
    <n v="3495"/>
    <n v="1397"/>
    <n v="0"/>
    <n v="1397"/>
    <n v="0"/>
    <n v="1397"/>
    <n v="0"/>
    <n v="0"/>
    <n v="21"/>
    <n v="188.9047619047619"/>
    <n v="188.9047619047619"/>
    <n v="66.523809523809518"/>
    <n v="0.35215528106881777"/>
    <n v="0.35215528106881777"/>
    <n v="2751.34"/>
    <n v="2760"/>
    <n v="0"/>
    <n v="0"/>
    <n v="0"/>
    <n v="0"/>
    <n v="0"/>
    <n v="0"/>
    <n v="0"/>
    <n v="0"/>
    <n v="-8.66"/>
    <n v="0"/>
    <n v="0"/>
    <n v="0"/>
    <n v="0"/>
    <n v="0"/>
    <n v="0"/>
    <n v="0"/>
    <n v="0"/>
    <n v="20.806705318880766"/>
    <n v="23.690987124463518"/>
    <n v="-0.55042372881355928"/>
    <n v="0"/>
  </r>
  <r>
    <x v="0"/>
    <x v="4"/>
    <x v="38"/>
    <n v="136213.50999326399"/>
    <n v="9465"/>
    <n v="126748.509993264"/>
    <n v="84631.079900741606"/>
    <n v="45043.409904480002"/>
    <n v="39587.669996261597"/>
    <n v="1129.1799983978301"/>
    <n v="83501.899902343779"/>
    <n v="33910.030210971803"/>
    <n v="485"/>
    <n v="674"/>
    <n v="202.09719583570325"/>
    <n v="151.06599374227326"/>
    <n v="125.56540044620417"/>
    <n v="0.62131193818386132"/>
    <n v="0.84051711634088333"/>
    <n v="84712.6"/>
    <n v="84747.6"/>
    <n v="0"/>
    <n v="0"/>
    <n v="0"/>
    <n v="0"/>
    <n v="0"/>
    <n v="0"/>
    <n v="0"/>
    <n v="0"/>
    <n v="-35"/>
    <n v="25"/>
    <n v="0"/>
    <n v="0"/>
    <n v="0"/>
    <n v="0"/>
    <n v="0"/>
    <n v="0"/>
    <n v="0"/>
    <n v="18.657312333598011"/>
    <n v="20.058839351524657"/>
    <n v="-0.11093502377179082"/>
    <n v="1.1090128244030334E-2"/>
  </r>
  <r>
    <x v="0"/>
    <x v="4"/>
    <x v="39"/>
    <n v="0"/>
    <n v="0"/>
    <n v="0"/>
    <n v="0"/>
    <n v="0"/>
    <n v="0"/>
    <n v="0"/>
    <n v="0"/>
    <n v="0"/>
    <n v="0"/>
    <n v="0"/>
    <s v="$0.00"/>
    <s v="$0.00"/>
    <s v="$0.00"/>
    <s v="0.00%"/>
    <s v="0.00%"/>
    <n v="-20"/>
    <n v="0"/>
    <n v="0"/>
    <s v="0.00%"/>
    <n v="0"/>
    <s v="0.00%"/>
    <n v="0"/>
    <n v="0"/>
    <n v="0"/>
    <s v="0.00%"/>
    <n v="-20"/>
    <n v="0"/>
    <n v="0"/>
    <n v="0"/>
    <n v="0"/>
    <n v="0"/>
    <n v="0"/>
    <n v="63.93"/>
    <n v="0"/>
    <s v="0.00"/>
    <s v="0.00"/>
    <s v="0.00"/>
    <s v="0.00%"/>
  </r>
  <r>
    <x v="0"/>
    <x v="4"/>
    <x v="40"/>
    <n v="238391.70999997301"/>
    <n v="11799"/>
    <n v="226592.70999997301"/>
    <n v="175177.32966694201"/>
    <n v="102033.09969213601"/>
    <n v="73144.229974806294"/>
    <n v="8804.1300070285797"/>
    <n v="166373.19965991372"/>
    <n v="70028.330238113194"/>
    <n v="1043.9099979400601"/>
    <n v="1220"/>
    <n v="195.40304098358445"/>
    <n v="137.14710636386866"/>
    <n v="143.58797513683794"/>
    <n v="0.73482978777643793"/>
    <n v="1.1051127918320394"/>
    <n v="241760.63"/>
    <n v="154642.06"/>
    <n v="3393.58"/>
    <n v="2.1944741294832724E-2"/>
    <n v="15959.400000000001"/>
    <n v="0.10320219479745679"/>
    <n v="6479.94"/>
    <n v="4.1902830316668048E-2"/>
    <n v="2046.66"/>
    <n v="1.3234821108823822E-2"/>
    <n v="87118.57"/>
    <n v="6329.58"/>
    <n v="7.2654773832949729E-2"/>
    <n v="6097.29"/>
    <n v="6.9988407752790249E-2"/>
    <n v="5178.6499999999996"/>
    <n v="5.9443698398630729E-2"/>
    <n v="83624.740000000005"/>
    <n v="0.9598956915844693"/>
    <n v="30.423956017601537"/>
    <n v="20.474011719090839"/>
    <n v="221.50666158148996"/>
    <n v="5.2618682209851671E-2"/>
  </r>
  <r>
    <x v="0"/>
    <x v="4"/>
    <x v="41"/>
    <n v="0"/>
    <n v="0"/>
    <n v="0"/>
    <n v="1567.54000782967"/>
    <n v="989.67000484466598"/>
    <n v="577.87000298500095"/>
    <n v="65"/>
    <n v="1502.540007829667"/>
    <n v="904.35999202728306"/>
    <n v="350.97000122070301"/>
    <n v="0"/>
    <s v="$0.00"/>
    <s v="$0.00"/>
    <s v="$0.00"/>
    <s v="0.00%"/>
    <n v="-1.1872335066580963"/>
    <n v="24841.19"/>
    <n v="1453.21"/>
    <n v="354.04"/>
    <n v="0.24362617928585684"/>
    <n v="1099.17"/>
    <n v="0.75637382071414316"/>
    <n v="87"/>
    <n v="5.9867465817053281E-2"/>
    <n v="0"/>
    <n v="0"/>
    <n v="23387.98"/>
    <n v="137.94"/>
    <n v="5.8979014006340005E-3"/>
    <n v="22.01"/>
    <n v="9.4108170094210793E-4"/>
    <n v="399.85"/>
    <n v="1.7096388828791543E-2"/>
    <n v="4970.33"/>
    <n v="0.21251642937953599"/>
    <s v="0.00"/>
    <s v="0.00"/>
    <s v="0.00"/>
    <n v="-5.1779213712421411E-2"/>
  </r>
  <r>
    <x v="0"/>
    <x v="4"/>
    <x v="42"/>
    <n v="253886.020000402"/>
    <n v="9308"/>
    <n v="244578.020000402"/>
    <n v="177859.78987696601"/>
    <n v="117356.399862437"/>
    <n v="60503.390014529199"/>
    <n v="5325.9400018453598"/>
    <n v="172533.84987512085"/>
    <n v="83296.480316670597"/>
    <n v="1062.1999988555899"/>
    <n v="1254"/>
    <n v="202.46094098915631"/>
    <n v="135.18926609639217"/>
    <n v="141.83396321927131"/>
    <n v="0.70054975802403219"/>
    <n v="1.0831807172186201"/>
    <n v="239104.03"/>
    <n v="209874.6"/>
    <n v="7433.5"/>
    <n v="3.5418769112603429E-2"/>
    <n v="28223.839999999997"/>
    <n v="0.13447954159293213"/>
    <n v="6473.81"/>
    <n v="3.0846086186703869E-2"/>
    <n v="7397.15"/>
    <n v="3.5245570450164049E-2"/>
    <n v="166535.25"/>
    <n v="8350.98"/>
    <n v="5.0145419663404592E-2"/>
    <n v="8512.85"/>
    <n v="5.1117406074689897E-2"/>
    <n v="5678.35"/>
    <n v="3.4096985473045502E-2"/>
    <n v="143993.07"/>
    <n v="0.86464018878886006"/>
    <n v="28.253311860135671"/>
    <n v="25.743269979819331"/>
    <n v="94.207445208422854"/>
    <n v="3.1416407593875005E-2"/>
  </r>
  <r>
    <x v="0"/>
    <x v="4"/>
    <x v="43"/>
    <n v="0"/>
    <n v="0"/>
    <n v="0"/>
    <n v="0"/>
    <n v="0"/>
    <n v="0"/>
    <n v="0"/>
    <n v="0"/>
    <n v="0"/>
    <n v="0"/>
    <n v="0"/>
    <s v="$0.00"/>
    <s v="$0.00"/>
    <s v="$0.00"/>
    <s v="0.00%"/>
    <s v="0.00%"/>
    <n v="-50"/>
    <n v="0"/>
    <n v="0"/>
    <s v="0.00%"/>
    <n v="0"/>
    <s v="0.00%"/>
    <n v="0"/>
    <n v="0"/>
    <n v="0"/>
    <s v="0.00%"/>
    <n v="-50"/>
    <n v="0"/>
    <n v="0"/>
    <n v="0"/>
    <n v="0"/>
    <n v="0"/>
    <n v="0"/>
    <n v="357.61"/>
    <n v="0"/>
    <s v="0.00"/>
    <s v="0.00"/>
    <s v="0.00"/>
    <s v="0.00%"/>
  </r>
  <r>
    <x v="0"/>
    <x v="4"/>
    <x v="44"/>
    <n v="181619.729999984"/>
    <n v="9474"/>
    <n v="172145.729999984"/>
    <n v="142326.93973904799"/>
    <n v="81310.609752476201"/>
    <n v="61016.329986572302"/>
    <n v="5897.5500046014804"/>
    <n v="136429.38973444703"/>
    <n v="53837.920279881"/>
    <n v="978"/>
    <n v="968"/>
    <n v="187.6236880165124"/>
    <n v="130.99567119845352"/>
    <n v="147.03196254033938"/>
    <n v="0.78365351462124211"/>
    <n v="1.1771676675297946"/>
    <n v="118308.47"/>
    <n v="117981.84"/>
    <n v="2549.58"/>
    <n v="2.1609935901999833E-2"/>
    <n v="13656.880000000001"/>
    <n v="0.11575408554401255"/>
    <n v="4382.46"/>
    <n v="3.7145208109993881E-2"/>
    <n v="1857.38"/>
    <n v="1.5742931285018101E-2"/>
    <n v="97400.5"/>
    <n v="5122.6400000000003"/>
    <n v="5.2593569848204069E-2"/>
    <n v="4443.1400000000003"/>
    <n v="4.5617219624129242E-2"/>
    <n v="3259.23"/>
    <n v="3.3462148551598812E-2"/>
    <n v="84575.49"/>
    <n v="0.8683270619760679"/>
    <n v="19.542227598291841"/>
    <n v="20.560807404286638"/>
    <n v="1.0342938568714375"/>
    <n v="4.6509249348416895E-2"/>
  </r>
  <r>
    <x v="0"/>
    <x v="4"/>
    <x v="45"/>
    <n v="34290.599998777703"/>
    <n v="2931.0299987793001"/>
    <n v="31359.569999998399"/>
    <n v="15658.7599906921"/>
    <n v="5625.2399902343795"/>
    <n v="10033.5200004578"/>
    <n v="0"/>
    <n v="15658.759990692179"/>
    <n v="4394.4500236511203"/>
    <n v="119"/>
    <n v="210"/>
    <n v="163.28857142275092"/>
    <n v="141.79595226250751"/>
    <n v="74.565523765200851"/>
    <n v="0.45664876062974524"/>
    <n v="0.52586496705602248"/>
    <n v="16049.07"/>
    <n v="16079.07"/>
    <n v="0"/>
    <n v="0"/>
    <n v="0"/>
    <n v="0"/>
    <n v="0"/>
    <n v="0"/>
    <n v="0"/>
    <n v="0"/>
    <n v="-30"/>
    <n v="0"/>
    <n v="0"/>
    <n v="0"/>
    <n v="0"/>
    <n v="0"/>
    <n v="0"/>
    <n v="0"/>
    <n v="0"/>
    <n v="14.040935417203611"/>
    <n v="15.381974306408686"/>
    <n v="-0.30705929327738957"/>
    <n v="0"/>
  </r>
  <r>
    <x v="0"/>
    <x v="4"/>
    <x v="46"/>
    <n v="0"/>
    <n v="0"/>
    <n v="0"/>
    <n v="1859.12001037598"/>
    <n v="424.64000701904303"/>
    <n v="1434.48000335693"/>
    <n v="188.290000915527"/>
    <n v="1670.830009460446"/>
    <n v="180.35000610351599"/>
    <n v="78.619998931884794"/>
    <n v="0"/>
    <s v="$0.00"/>
    <s v="$0.00"/>
    <s v="$0.00"/>
    <s v="0.00%"/>
    <n v="-4.1566873533064141"/>
    <n v="1450.93"/>
    <n v="1489.54"/>
    <n v="205"/>
    <n v="0.13762638129892452"/>
    <n v="1284.54"/>
    <n v="0.86237361870107554"/>
    <n v="11"/>
    <n v="7.3848302160398512E-3"/>
    <n v="205"/>
    <n v="0.13762638129892452"/>
    <n v="-38.61"/>
    <n v="36.71"/>
    <n v="0"/>
    <n v="46.58"/>
    <n v="0"/>
    <n v="608.88"/>
    <n v="0"/>
    <n v="7471.56"/>
    <n v="0"/>
    <s v="0.00"/>
    <s v="0.00"/>
    <s v="0.00"/>
    <n v="-0.72707262329391409"/>
  </r>
  <r>
    <x v="0"/>
    <x v="4"/>
    <x v="47"/>
    <n v="235144.269995693"/>
    <n v="12715"/>
    <n v="222429.269995693"/>
    <n v="168850.99986242899"/>
    <n v="93729.119850177303"/>
    <n v="75121.880012251393"/>
    <n v="8196.6800038516503"/>
    <n v="160654.31985857704"/>
    <n v="75464.0702211764"/>
    <n v="1632.7199993133499"/>
    <n v="1250"/>
    <n v="188.11541599655439"/>
    <n v="126.4379838201626"/>
    <n v="135.08079988994297"/>
    <n v="0.71807405668665214"/>
    <n v="1.1267941186838399"/>
    <n v="361786.08999999997"/>
    <n v="176817.47"/>
    <n v="7821.91"/>
    <n v="4.4237201222254788E-2"/>
    <n v="24935.199999999997"/>
    <n v="0.14102226437240617"/>
    <n v="6640.45"/>
    <n v="3.7555395402954245E-2"/>
    <n v="2913.51"/>
    <n v="1.6477500780890036E-2"/>
    <n v="184968.62"/>
    <n v="8393.32"/>
    <n v="4.537699421664064E-2"/>
    <n v="7722.57"/>
    <n v="4.1750703443643573E-2"/>
    <n v="7924.08"/>
    <n v="4.2840131477436552E-2"/>
    <n v="136394.03"/>
    <n v="0.73739010433229157"/>
    <n v="46.157121754226871"/>
    <n v="23.848138781837093"/>
    <n v="436.41829335430594"/>
    <n v="5.1862136716827691E-2"/>
  </r>
  <r>
    <x v="0"/>
    <x v="4"/>
    <x v="48"/>
    <n v="0"/>
    <n v="0"/>
    <n v="0"/>
    <n v="0"/>
    <n v="0"/>
    <n v="0"/>
    <n v="0"/>
    <n v="0"/>
    <n v="0"/>
    <n v="20"/>
    <n v="0"/>
    <s v="$0.00"/>
    <s v="$0.00"/>
    <s v="$0.00"/>
    <s v="0.00%"/>
    <n v="0"/>
    <n v="287.2"/>
    <n v="0"/>
    <n v="0"/>
    <s v="0.00%"/>
    <n v="0"/>
    <s v="0.00%"/>
    <n v="0"/>
    <n v="0"/>
    <n v="0"/>
    <s v="0.00%"/>
    <n v="287.2"/>
    <n v="0"/>
    <n v="0"/>
    <n v="0"/>
    <n v="0"/>
    <n v="0"/>
    <n v="0"/>
    <n v="287.2"/>
    <n v="1"/>
    <s v="0.00"/>
    <s v="0.00"/>
    <s v="0.00"/>
    <n v="0"/>
  </r>
  <r>
    <x v="0"/>
    <x v="4"/>
    <x v="49"/>
    <n v="149505.990004864"/>
    <n v="8595"/>
    <n v="140910.990004864"/>
    <n v="101555.74980733699"/>
    <n v="63232.679825404703"/>
    <n v="38323.069981932596"/>
    <n v="3387.3500018119798"/>
    <n v="98168.399805525318"/>
    <n v="47741.400084486202"/>
    <n v="628.03999900817905"/>
    <n v="782"/>
    <n v="191.18413044100257"/>
    <n v="129.33062649791512"/>
    <n v="129.86668773316791"/>
    <n v="0.67927545781967202"/>
    <n v="1.0389420055705034"/>
    <n v="273703.83999999997"/>
    <n v="134140.12"/>
    <n v="6132.89"/>
    <n v="4.5720027684483959E-2"/>
    <n v="20312.04"/>
    <n v="0.15142404822658576"/>
    <n v="5660.51"/>
    <n v="4.2198486179973599E-2"/>
    <n v="3900.47"/>
    <n v="2.9077579474358604E-2"/>
    <n v="139563.72"/>
    <n v="6266.49"/>
    <n v="4.490056584906163E-2"/>
    <n v="6058.74"/>
    <n v="4.3411998476394868E-2"/>
    <n v="4594.2700000000004"/>
    <n v="3.2918798667733992E-2"/>
    <n v="108818.83"/>
    <n v="0.77970714738758751"/>
    <n v="54.921646950285137"/>
    <n v="28.558479362476209"/>
    <n v="487.13340314136121"/>
    <n v="3.3492837203222124E-2"/>
  </r>
  <r>
    <x v="1"/>
    <x v="0"/>
    <x v="0"/>
    <n v="0"/>
    <n v="0"/>
    <n v="0"/>
    <n v="476.76998805999801"/>
    <n v="85.470001220703097"/>
    <n v="391.29998683929398"/>
    <n v="20"/>
    <n v="456.7699880599971"/>
    <n v="79.760002136230497"/>
    <n v="0"/>
    <n v="0"/>
    <s v="$0.00"/>
    <s v="$0.00"/>
    <s v="$0.00"/>
    <s v="0.00%"/>
    <n v="-4.7791697859922699"/>
    <n v="6680.7800000000007"/>
    <n v="-19.28"/>
    <n v="0"/>
    <n v="0"/>
    <n v="0"/>
    <n v="0"/>
    <n v="0"/>
    <n v="0"/>
    <n v="-309.66000000000003"/>
    <n v="0"/>
    <n v="6700.06"/>
    <n v="0"/>
    <n v="0"/>
    <n v="0"/>
    <n v="0"/>
    <n v="0"/>
    <n v="0"/>
    <n v="6680.06"/>
    <n v="0.99701495210490654"/>
    <s v="0.00"/>
    <s v="0.00"/>
    <s v="0.00"/>
    <n v="-0.25075225005435553"/>
  </r>
  <r>
    <x v="1"/>
    <x v="0"/>
    <x v="1"/>
    <n v="195561.60000722157"/>
    <n v="9001"/>
    <n v="186560.60000722157"/>
    <n v="121661.25986270935"/>
    <n v="57040.199907073751"/>
    <n v="64621.059955636003"/>
    <n v="4113.0600032806396"/>
    <n v="117548.19985942912"/>
    <n v="53450.750005712704"/>
    <n v="2727"/>
    <n v="1055"/>
    <n v="185.36644550447542"/>
    <n v="132.11739336635912"/>
    <n v="115.31872972768697"/>
    <n v="0.6221122135338284"/>
    <n v="0.89939047346661671"/>
    <n v="332503.08999999997"/>
    <n v="163636.66"/>
    <n v="7463.53"/>
    <n v="4.5610378505647815E-2"/>
    <n v="3525.36"/>
    <n v="2.1543827648401036E-2"/>
    <n v="2008.5"/>
    <n v="1.2274144436827297E-2"/>
    <n v="20094.060000000001"/>
    <n v="0.12279681093466464"/>
    <n v="168866.43"/>
    <n v="5066.2"/>
    <n v="3.0001226413088736E-2"/>
    <n v="4975.12"/>
    <n v="2.9461865215010468E-2"/>
    <n v="3489.74"/>
    <n v="2.0665682338402012E-2"/>
    <n v="137446.03"/>
    <n v="0.81393341471126024"/>
    <n v="51.976477463581617"/>
    <n v="26.842106990380895"/>
    <n v="561.17340348933817"/>
    <n v="2.9508870670713391E-2"/>
  </r>
  <r>
    <x v="1"/>
    <x v="0"/>
    <x v="2"/>
    <n v="0"/>
    <n v="0"/>
    <n v="0"/>
    <n v="200.49000549316401"/>
    <n v="133.99000549316401"/>
    <n v="66.5"/>
    <n v="23.600000381469702"/>
    <n v="176.89000511169431"/>
    <n v="211.38000488281301"/>
    <n v="0"/>
    <n v="0"/>
    <s v="$0.00"/>
    <s v="$0.00"/>
    <s v="$0.00"/>
    <s v="0.00%"/>
    <n v="-0.85322155503261776"/>
    <n v="7730.15"/>
    <n v="131"/>
    <n v="0"/>
    <n v="0"/>
    <n v="0"/>
    <n v="0"/>
    <n v="-5"/>
    <n v="0"/>
    <n v="66"/>
    <n v="0.50381679389312972"/>
    <n v="7599.15"/>
    <n v="0"/>
    <n v="0"/>
    <n v="0"/>
    <n v="0"/>
    <n v="113.6"/>
    <n v="1.4949040353197397E-2"/>
    <n v="7450.92"/>
    <n v="0.98049387102504892"/>
    <s v="0.00"/>
    <s v="0.00"/>
    <s v="0.00"/>
    <n v="-0.1116472695445026"/>
  </r>
  <r>
    <x v="1"/>
    <x v="0"/>
    <x v="3"/>
    <n v="185468.25000121401"/>
    <n v="13152"/>
    <n v="172316.25000121401"/>
    <n v="119849.59988224501"/>
    <n v="52173.2598834038"/>
    <n v="67676.3399988413"/>
    <n v="3452.3100032806401"/>
    <n v="116397.28987896445"/>
    <n v="47072.490162491798"/>
    <n v="2515.1300006210799"/>
    <n v="1016"/>
    <n v="182.5474901586752"/>
    <n v="133.74077739970585"/>
    <n v="117.96220460850896"/>
    <n v="0.64620009021199365"/>
    <n v="0.90501487923228963"/>
    <n v="221516.08000000002"/>
    <n v="150274.48000000001"/>
    <n v="5985.84"/>
    <n v="3.983271144907638E-2"/>
    <n v="1953.09"/>
    <n v="1.2996817556780099E-2"/>
    <n v="5049.47"/>
    <n v="3.3601646799909075E-2"/>
    <n v="20824.93"/>
    <n v="0.13857928505225903"/>
    <n v="71241.600000000006"/>
    <n v="5624.9"/>
    <n v="7.8955273323451453E-2"/>
    <n v="4152.2"/>
    <n v="5.8283362529757889E-2"/>
    <n v="4180.1899999999996"/>
    <n v="5.8676250954498486E-2"/>
    <n v="42551.19"/>
    <n v="0.59728010039078294"/>
    <n v="36.687043289404834"/>
    <n v="27.063598821803339"/>
    <n v="146.78397033068921"/>
    <n v="2.540693259513143E-2"/>
  </r>
  <r>
    <x v="1"/>
    <x v="0"/>
    <x v="4"/>
    <n v="0"/>
    <n v="0"/>
    <n v="0"/>
    <n v="6.2499998807907096"/>
    <n v="0"/>
    <n v="6.2499998807907096"/>
    <n v="0"/>
    <n v="6.2499998807907096"/>
    <n v="0"/>
    <n v="0"/>
    <n v="0"/>
    <s v="$0.00"/>
    <s v="$0.00"/>
    <s v="$0.00"/>
    <s v="0.00%"/>
    <s v="0.00%"/>
    <n v="4190.74"/>
    <n v="1540.19"/>
    <n v="0"/>
    <n v="0"/>
    <n v="0"/>
    <n v="0"/>
    <n v="0"/>
    <n v="0"/>
    <n v="1306.8399999999999"/>
    <n v="0.84849271843084284"/>
    <n v="2650.55"/>
    <n v="0"/>
    <n v="0"/>
    <n v="0"/>
    <n v="0"/>
    <n v="0"/>
    <n v="0"/>
    <n v="2677.9"/>
    <n v="1.0103186131180322"/>
    <s v="0.00"/>
    <s v="0.00"/>
    <s v="0.00"/>
    <s v="0.00%"/>
  </r>
  <r>
    <x v="1"/>
    <x v="0"/>
    <x v="5"/>
    <n v="380063.93999905098"/>
    <n v="16659"/>
    <n v="363404.93999905098"/>
    <n v="242474.90986772301"/>
    <n v="108183.579914084"/>
    <n v="134291.32995363901"/>
    <n v="7092.0400072932198"/>
    <n v="235382.86986042978"/>
    <n v="113643.210303724"/>
    <n v="4813.13998889923"/>
    <n v="1864"/>
    <n v="203.89696351880417"/>
    <n v="140.34741937040116"/>
    <n v="130.08310615221191"/>
    <n v="0.63798451878472995"/>
    <n v="0.95269192846706263"/>
    <n v="528979.43999999994"/>
    <n v="275160.33"/>
    <n v="6764.75"/>
    <n v="2.4584757548444573E-2"/>
    <n v="5661.85"/>
    <n v="2.0576548952387141E-2"/>
    <n v="7140.17"/>
    <n v="2.5949125733349714E-2"/>
    <n v="19663.259999999998"/>
    <n v="7.1461100515470374E-2"/>
    <n v="253819.11"/>
    <n v="9443.67"/>
    <n v="3.7206300187562713E-2"/>
    <n v="9336.85"/>
    <n v="3.6785449291032501E-2"/>
    <n v="11531.65"/>
    <n v="4.5432552340129155E-2"/>
    <n v="189936.17"/>
    <n v="0.74831311952831303"/>
    <n v="42.718184304906444"/>
    <n v="23.327956428792827"/>
    <n v="431.88538032857701"/>
    <n v="2.7109458159267488E-2"/>
  </r>
  <r>
    <x v="1"/>
    <x v="0"/>
    <x v="6"/>
    <n v="0"/>
    <n v="0"/>
    <n v="0"/>
    <n v="1924.4599876403799"/>
    <n v="463.949991226196"/>
    <n v="1460.50999641418"/>
    <n v="384"/>
    <n v="1540.4599876403761"/>
    <n v="377.62001037597702"/>
    <n v="0"/>
    <n v="0"/>
    <s v="$0.00"/>
    <s v="$0.00"/>
    <s v="$0.00"/>
    <s v="0.00%"/>
    <n v="-2.5267980901530649"/>
    <n v="17828.900000000001"/>
    <n v="3423.01"/>
    <n v="0"/>
    <n v="0"/>
    <n v="804"/>
    <n v="0.23488099654982017"/>
    <n v="815.77"/>
    <n v="0.23831949074060546"/>
    <n v="1170.58"/>
    <n v="0.34197387679264735"/>
    <n v="14405.89"/>
    <n v="0"/>
    <n v="0"/>
    <n v="1426.72"/>
    <n v="9.9037268783809959E-2"/>
    <n v="1405.24"/>
    <n v="9.7546212000785795E-2"/>
    <n v="10571.54"/>
    <n v="0.73383456350145682"/>
    <s v="0.00"/>
    <s v="0.00"/>
    <s v="0.00"/>
    <n v="-1.0168952636214135"/>
  </r>
  <r>
    <x v="1"/>
    <x v="0"/>
    <x v="7"/>
    <n v="0"/>
    <n v="0"/>
    <n v="0"/>
    <n v="10"/>
    <n v="0"/>
    <n v="10"/>
    <n v="0"/>
    <n v="10"/>
    <n v="0"/>
    <n v="0"/>
    <n v="0"/>
    <s v="$0.00"/>
    <s v="$0.00"/>
    <s v="$0.00"/>
    <s v="0.00%"/>
    <s v="0.00%"/>
    <n v="2730.67"/>
    <n v="0"/>
    <n v="0"/>
    <s v="0.00%"/>
    <n v="0"/>
    <s v="0.00%"/>
    <n v="0"/>
    <n v="0"/>
    <n v="0"/>
    <s v="0.00%"/>
    <n v="2730.67"/>
    <n v="0"/>
    <n v="0"/>
    <n v="0"/>
    <n v="0"/>
    <n v="0"/>
    <n v="0"/>
    <n v="2730.67"/>
    <n v="1"/>
    <s v="0.00"/>
    <s v="0.00"/>
    <s v="0.00"/>
    <s v="0.00%"/>
  </r>
  <r>
    <x v="1"/>
    <x v="0"/>
    <x v="8"/>
    <n v="266005.88000058202"/>
    <n v="10711"/>
    <n v="255294.88000058199"/>
    <n v="174384.01988008601"/>
    <n v="90050.729913979798"/>
    <n v="84333.2899661064"/>
    <n v="6357.1700128912898"/>
    <n v="168026.84986719489"/>
    <n v="90883.520257918193"/>
    <n v="2803.01000976563"/>
    <n v="1304"/>
    <n v="203.99223926424997"/>
    <n v="132.14674059271331"/>
    <n v="133.73007659515812"/>
    <n v="0.65556453067768528"/>
    <n v="1.0507455383768021"/>
    <n v="409005.88"/>
    <n v="201685.96"/>
    <n v="4358.96"/>
    <n v="2.161261002005296E-2"/>
    <n v="3090.14"/>
    <n v="1.5321542461359234E-2"/>
    <n v="3089.94"/>
    <n v="1.5320550820691734E-2"/>
    <n v="17433.2"/>
    <n v="8.6437350423400824E-2"/>
    <n v="207319.92"/>
    <n v="8214.5400000000009"/>
    <n v="3.9622531206842067E-2"/>
    <n v="5813.38"/>
    <n v="2.8040624364508725E-2"/>
    <n v="5945.7"/>
    <n v="2.8678865012103032E-2"/>
    <n v="160503.04000000001"/>
    <n v="0.77418050325313648"/>
    <n v="45.372857466784339"/>
    <n v="23.413841898857349"/>
    <n v="517.82512696694698"/>
    <n v="3.6891794350113055E-2"/>
  </r>
  <r>
    <x v="1"/>
    <x v="0"/>
    <x v="9"/>
    <n v="0"/>
    <n v="0"/>
    <n v="0"/>
    <n v="0"/>
    <n v="0"/>
    <n v="0"/>
    <n v="0"/>
    <n v="0"/>
    <n v="0"/>
    <n v="0"/>
    <n v="0"/>
    <s v="$0.00"/>
    <s v="$0.00"/>
    <s v="$0.00"/>
    <s v="0.00%"/>
    <s v="0.00%"/>
    <n v="192.58"/>
    <n v="0"/>
    <n v="0"/>
    <s v="0.00%"/>
    <n v="0"/>
    <s v="0.00%"/>
    <n v="0"/>
    <n v="0"/>
    <n v="0"/>
    <s v="0.00%"/>
    <n v="192.58"/>
    <n v="0"/>
    <n v="0"/>
    <n v="0"/>
    <n v="0"/>
    <n v="0"/>
    <n v="0"/>
    <n v="192.58"/>
    <n v="1"/>
    <s v="0.00"/>
    <s v="0.00"/>
    <s v="0.00"/>
    <s v="0.00%"/>
  </r>
  <r>
    <x v="1"/>
    <x v="0"/>
    <x v="10"/>
    <n v="273708.03000515501"/>
    <n v="11776"/>
    <n v="261932.03000515499"/>
    <n v="166100.77963388001"/>
    <n v="83789.319640755697"/>
    <n v="82311.459993123994"/>
    <n v="4827.1200017929104"/>
    <n v="161273.65963208678"/>
    <n v="79876.160241097197"/>
    <n v="3198.1700000762899"/>
    <n v="1500"/>
    <n v="182.47202000343668"/>
    <n v="127.08913317598767"/>
    <n v="110.73385308925313"/>
    <n v="0.60685387867776974"/>
    <n v="0.89394455162174502"/>
    <n v="448458.4"/>
    <n v="225704.99"/>
    <n v="5324.45"/>
    <n v="2.359030697549044E-2"/>
    <n v="7696.33"/>
    <n v="3.4099068877475859E-2"/>
    <n v="8389.1299999999992"/>
    <n v="3.7168562378705049E-2"/>
    <n v="17204.73"/>
    <n v="7.6226626624426863E-2"/>
    <n v="222753.41"/>
    <n v="6567.24"/>
    <n v="2.9482107591529125E-2"/>
    <n v="7181.47"/>
    <n v="3.2239551349629171E-2"/>
    <n v="5958.97"/>
    <n v="2.6751419877253508E-2"/>
    <n v="182183.12"/>
    <n v="0.81786905080375649"/>
    <n v="51.69699950654072"/>
    <n v="27.243437301892943"/>
    <n v="571.16258974358971"/>
    <n v="2.5321441108100189E-2"/>
  </r>
  <r>
    <x v="1"/>
    <x v="0"/>
    <x v="11"/>
    <n v="0"/>
    <n v="0"/>
    <n v="0"/>
    <n v="0"/>
    <n v="0"/>
    <n v="0"/>
    <n v="0"/>
    <n v="0"/>
    <n v="0"/>
    <n v="0"/>
    <n v="0"/>
    <s v="$0.00"/>
    <s v="$0.00"/>
    <s v="$0.00"/>
    <s v="0.00%"/>
    <s v="0.00%"/>
    <n v="4555.88"/>
    <n v="157"/>
    <n v="0"/>
    <n v="0"/>
    <n v="0"/>
    <n v="0"/>
    <n v="0"/>
    <n v="0"/>
    <n v="157"/>
    <n v="1"/>
    <n v="4398.88"/>
    <n v="0"/>
    <n v="0"/>
    <n v="0"/>
    <n v="0"/>
    <n v="0"/>
    <n v="0"/>
    <n v="4368.88"/>
    <n v="0.99318008220274256"/>
    <s v="0.00"/>
    <s v="0.00"/>
    <s v="0.00"/>
    <s v="0.00%"/>
  </r>
  <r>
    <x v="1"/>
    <x v="0"/>
    <x v="12"/>
    <n v="255414.05999998699"/>
    <n v="20686"/>
    <n v="234728.05999998699"/>
    <n v="167268.459770232"/>
    <n v="81592.3497958183"/>
    <n v="85676.109974414096"/>
    <n v="4907.8299939632398"/>
    <n v="162360.62977626914"/>
    <n v="79682.710259951695"/>
    <n v="3901.9299926757799"/>
    <n v="1466"/>
    <n v="174.22514324692153"/>
    <n v="117.20969969124116"/>
    <n v="114.09854008883518"/>
    <n v="0.65489135472902671"/>
    <n v="1.0020780416562565"/>
    <n v="497623.42"/>
    <n v="224131.25"/>
    <n v="6686.19"/>
    <n v="2.9831583056802651E-2"/>
    <n v="5348.19"/>
    <n v="2.3861866651794426E-2"/>
    <n v="6304.39"/>
    <n v="2.8128116895792088E-2"/>
    <n v="30229.99"/>
    <n v="0.1348762834276791"/>
    <n v="273492.17"/>
    <n v="11594.88"/>
    <n v="4.239565615351986E-2"/>
    <n v="7424.23"/>
    <n v="2.7146042243183781E-2"/>
    <n v="8559.4699999999993"/>
    <n v="3.1296947184996191E-2"/>
    <n v="214472.75"/>
    <n v="0.78420069576397744"/>
    <n v="56.766477626363866"/>
    <n v="27.440948969401802"/>
    <n v="457.05178397348408"/>
    <n v="2.8562221773077118E-2"/>
  </r>
  <r>
    <x v="1"/>
    <x v="0"/>
    <x v="13"/>
    <n v="182760.679999985"/>
    <n v="8215"/>
    <n v="174545.679999985"/>
    <n v="116499.31979358201"/>
    <n v="59611.0997902155"/>
    <n v="56888.220003366499"/>
    <n v="2326.4099987745299"/>
    <n v="114172.90979480746"/>
    <n v="46146.470162033998"/>
    <n v="1515.5599975585901"/>
    <n v="978"/>
    <n v="186.87186094067997"/>
    <n v="138.13767877340737"/>
    <n v="119.11995888914313"/>
    <n v="0.63744192565704805"/>
    <n v="0.87743733127159995"/>
    <n v="225758.86"/>
    <n v="139060.09"/>
    <n v="3436.49"/>
    <n v="2.4712266474155163E-2"/>
    <n v="4119.3500000000004"/>
    <n v="2.9622805508036133E-2"/>
    <n v="3350.07"/>
    <n v="2.4090808513067986E-2"/>
    <n v="11868.06"/>
    <n v="8.5344831863692877E-2"/>
    <n v="86698.77"/>
    <n v="5648.7"/>
    <n v="6.5153173453325802E-2"/>
    <n v="5801.47"/>
    <n v="6.6915251508181714E-2"/>
    <n v="6171.78"/>
    <n v="7.1186477039985679E-2"/>
    <n v="54232.81"/>
    <n v="0.62553148101178357"/>
    <n v="42.055686995768141"/>
    <n v="27.270462074797489"/>
    <n v="322.54006696428576"/>
    <n v="1.7220083261549883E-2"/>
  </r>
  <r>
    <x v="1"/>
    <x v="0"/>
    <x v="14"/>
    <n v="0"/>
    <n v="0"/>
    <n v="0"/>
    <n v="3837.7200172543498"/>
    <n v="2050.06001740694"/>
    <n v="1787.6599998474101"/>
    <n v="291.01000213623001"/>
    <n v="3546.7100151181198"/>
    <n v="1659.0499984621999"/>
    <n v="-3.4599990844726598"/>
    <n v="0"/>
    <s v="$0.00"/>
    <s v="$0.00"/>
    <s v="$0.00"/>
    <s v="0.00%"/>
    <n v="-1.9714990312696929"/>
    <n v="28946.31"/>
    <n v="6072.56"/>
    <n v="0"/>
    <n v="0"/>
    <n v="837.04"/>
    <n v="0.13783972492655486"/>
    <n v="643.41"/>
    <n v="0.10595366698723437"/>
    <n v="1898.68"/>
    <n v="0.31266549857061932"/>
    <n v="22873.75"/>
    <n v="0"/>
    <n v="0"/>
    <n v="2116.59"/>
    <n v="9.2533581070003826E-2"/>
    <n v="2416.9299999999998"/>
    <n v="0.10566391606098693"/>
    <n v="16929.810000000001"/>
    <n v="0.7401414284933604"/>
    <s v="0.00"/>
    <s v="0.00"/>
    <s v="0.00"/>
    <n v="-0.17577419665835714"/>
  </r>
  <r>
    <x v="1"/>
    <x v="0"/>
    <x v="15"/>
    <n v="0"/>
    <n v="0"/>
    <n v="0"/>
    <n v="0"/>
    <n v="0"/>
    <n v="0"/>
    <n v="0"/>
    <n v="0"/>
    <n v="0"/>
    <n v="0"/>
    <n v="0"/>
    <s v="$0.00"/>
    <s v="$0.00"/>
    <s v="$0.00"/>
    <s v="0.00%"/>
    <s v="0.00%"/>
    <n v="538.66"/>
    <n v="0"/>
    <n v="0"/>
    <s v="0.00%"/>
    <n v="0"/>
    <s v="0.00%"/>
    <n v="0"/>
    <n v="0"/>
    <n v="0"/>
    <s v="0.00%"/>
    <n v="538.66"/>
    <n v="0"/>
    <n v="0"/>
    <n v="0"/>
    <n v="0"/>
    <n v="0"/>
    <n v="0"/>
    <n v="538.66"/>
    <n v="1"/>
    <s v="0.00"/>
    <s v="0.00"/>
    <s v="0.00"/>
    <s v="0.00%"/>
  </r>
  <r>
    <x v="1"/>
    <x v="0"/>
    <x v="16"/>
    <n v="169504.539999386"/>
    <n v="8643"/>
    <n v="160861.539999386"/>
    <n v="104003.199774414"/>
    <n v="44743.619810372598"/>
    <n v="59259.579964041703"/>
    <n v="2812.17999601364"/>
    <n v="101191.01977840066"/>
    <n v="39870.310127168901"/>
    <n v="1611.2899932861301"/>
    <n v="884"/>
    <n v="191.74721719387557"/>
    <n v="144.82233017978618"/>
    <n v="117.65067847784424"/>
    <n v="0.61357176494972365"/>
    <n v="0.83062509860706935"/>
    <n v="261743.96999999997"/>
    <n v="116418.61"/>
    <n v="3996.51"/>
    <n v="3.4328789873028037E-2"/>
    <n v="2219.48"/>
    <n v="1.9064649543573831E-2"/>
    <n v="4511.88"/>
    <n v="3.8755659425928554E-2"/>
    <n v="14595.88"/>
    <n v="0.12537411329683457"/>
    <n v="145325.35999999999"/>
    <n v="2552.7399999999998"/>
    <n v="1.7565688466211267E-2"/>
    <n v="2877.65"/>
    <n v="1.9801430390401237E-2"/>
    <n v="4644.87"/>
    <n v="3.1961868183226938E-2"/>
    <n v="118871.96"/>
    <n v="0.81797120612672158"/>
    <n v="54.475860255510717"/>
    <n v="25.847903851458216"/>
    <n v="483.15629190447157"/>
    <n v="2.1966219481235696E-2"/>
  </r>
  <r>
    <x v="1"/>
    <x v="1"/>
    <x v="17"/>
    <n v="459727.4502463846"/>
    <n v="10962"/>
    <n v="448765.4502463846"/>
    <n v="241328.60060256757"/>
    <n v="142136.21053475142"/>
    <n v="99192.390067815693"/>
    <n v="11727.990005254744"/>
    <n v="229600.61059731236"/>
    <n v="95967.289499819293"/>
    <n v="9031.2600097656195"/>
    <n v="2309"/>
    <n v="199.1024037446447"/>
    <n v="153.62880066556937"/>
    <n v="104.51650091059641"/>
    <n v="0.52493841834597943"/>
    <n v="0.70358005781345212"/>
    <n v="619397.43000000005"/>
    <n v="549215.42000000004"/>
    <n v="27580.32"/>
    <n v="5.0217672329739026E-2"/>
    <n v="14075.99"/>
    <n v="2.5629269476811118E-2"/>
    <n v="7382.26"/>
    <n v="1.3441465281510122E-2"/>
    <n v="5591.98"/>
    <n v="1.0181760737890424E-2"/>
    <n v="70182.009999999995"/>
    <n v="10949.1"/>
    <n v="0.15601006582741078"/>
    <n v="8474.4"/>
    <n v="0.12074889277180861"/>
    <n v="8541.08"/>
    <n v="0.12169899380197291"/>
    <n v="5808.88"/>
    <n v="8.2768789323645772E-2"/>
    <n v="43.320842135339255"/>
    <n v="39.57829210308617"/>
    <n v="166.6140002033614"/>
    <n v="3.3061839565072908E-2"/>
  </r>
  <r>
    <x v="1"/>
    <x v="2"/>
    <x v="18"/>
    <n v="0"/>
    <n v="0"/>
    <n v="0"/>
    <n v="0"/>
    <n v="0"/>
    <n v="0"/>
    <n v="0"/>
    <n v="0"/>
    <n v="0"/>
    <n v="0"/>
    <n v="0"/>
    <s v="$0.00"/>
    <s v="$0.00"/>
    <s v="$0.00"/>
    <s v="0.00%"/>
    <s v="0.00%"/>
    <n v="2042.44"/>
    <n v="0"/>
    <n v="0"/>
    <s v="0.00%"/>
    <n v="0"/>
    <s v="0.00%"/>
    <n v="0"/>
    <n v="0"/>
    <n v="-125.21"/>
    <s v="0.00%"/>
    <n v="2042.44"/>
    <n v="0"/>
    <n v="0"/>
    <n v="0"/>
    <n v="0"/>
    <n v="0"/>
    <n v="0"/>
    <n v="1959.89"/>
    <n v="0.95958265603885551"/>
    <s v="0.00"/>
    <s v="0.00"/>
    <s v="0.00"/>
    <s v="0.00%"/>
  </r>
  <r>
    <x v="1"/>
    <x v="2"/>
    <x v="19"/>
    <n v="106743.279999994"/>
    <n v="4379"/>
    <n v="102364.279999994"/>
    <n v="65657.190328784302"/>
    <n v="31492.130253978099"/>
    <n v="34165.060074806199"/>
    <n v="2862.5900006294301"/>
    <n v="62794.600328154869"/>
    <n v="32975.179684162104"/>
    <n v="4129.6100006103497"/>
    <n v="780"/>
    <n v="136.85035897435128"/>
    <n v="89.280115788745562"/>
    <n v="84.175885036902955"/>
    <n v="0.61509436780271309"/>
    <n v="0.98324680040946821"/>
    <n v="165253.76000000001"/>
    <n v="82207.429999999993"/>
    <n v="3287.68"/>
    <n v="3.9992492162813024E-2"/>
    <n v="2841"/>
    <n v="3.4558920039222736E-2"/>
    <n v="1973"/>
    <n v="2.4000263723120894E-2"/>
    <n v="6155.12"/>
    <n v="7.487303763175665E-2"/>
    <n v="83046.33"/>
    <n v="3409.06"/>
    <n v="4.1050098180136316E-2"/>
    <n v="2244.94"/>
    <n v="2.7032380600081906E-2"/>
    <n v="2155.8200000000002"/>
    <n v="2.5959244677037505E-2"/>
    <n v="59916.37"/>
    <n v="0.72148125028523236"/>
    <n v="44.533441630559913"/>
    <n v="23.537182285170431"/>
    <n v="380.74270650263622"/>
    <n v="4.1106433922846353E-2"/>
  </r>
  <r>
    <x v="1"/>
    <x v="2"/>
    <x v="20"/>
    <n v="0"/>
    <n v="0"/>
    <n v="0"/>
    <n v="477.61000490188599"/>
    <n v="94.279998779296903"/>
    <n v="383.330006122589"/>
    <n v="247.44000244140599"/>
    <n v="230.17000246047988"/>
    <n v="0"/>
    <n v="0"/>
    <n v="0"/>
    <s v="$0.00"/>
    <s v="$0.00"/>
    <s v="$0.00"/>
    <s v="0.00%"/>
    <n v="-1.9302053030612314"/>
    <n v="8378.17"/>
    <n v="1509.43"/>
    <n v="0"/>
    <n v="0"/>
    <n v="348.42"/>
    <n v="0.23082885592574681"/>
    <n v="0"/>
    <n v="0"/>
    <n v="75.59"/>
    <n v="5.0078506456079447E-2"/>
    <n v="6868.74"/>
    <n v="0"/>
    <n v="0"/>
    <n v="15.55"/>
    <n v="2.2638795470493862E-3"/>
    <n v="5"/>
    <n v="7.2793554567504375E-4"/>
    <n v="6239.05"/>
    <n v="0.90832525324877644"/>
    <s v="0.00"/>
    <s v="0.00"/>
    <s v="0.00"/>
    <s v="0.00%"/>
  </r>
  <r>
    <x v="1"/>
    <x v="2"/>
    <x v="21"/>
    <n v="200395.13000059899"/>
    <n v="10346"/>
    <n v="190049.13000059899"/>
    <n v="122325.93071258999"/>
    <n v="50059.410560974902"/>
    <n v="72266.520151615099"/>
    <n v="6922.2299915552103"/>
    <n v="115403.70072103478"/>
    <n v="62212.609234122603"/>
    <n v="2481.8999996185298"/>
    <n v="1046"/>
    <n v="191.5823422567868"/>
    <n v="129.73290704288516"/>
    <n v="116.94639647475142"/>
    <n v="0.61042367003741238"/>
    <n v="0.94989485406778251"/>
    <n v="254099.95"/>
    <n v="132888.45000000001"/>
    <n v="3816.5"/>
    <n v="2.871957645679515E-2"/>
    <n v="1524.04"/>
    <n v="1.1468566305047579E-2"/>
    <n v="404.96"/>
    <n v="3.0473679239994139E-3"/>
    <n v="10236.66"/>
    <n v="7.7031976819655873E-2"/>
    <n v="121211.5"/>
    <n v="5950.3"/>
    <n v="4.9090226587411259E-2"/>
    <n v="4142.45"/>
    <n v="3.4175387648861702E-2"/>
    <n v="4423.58"/>
    <n v="3.6494722035450435E-2"/>
    <n v="85790.26"/>
    <n v="0.70777327233802068"/>
    <n v="38.343964442261381"/>
    <n v="21.169267464016919"/>
    <n v="346.880186969379"/>
    <n v="5.1011041456089083E-2"/>
  </r>
  <r>
    <x v="1"/>
    <x v="2"/>
    <x v="22"/>
    <n v="0"/>
    <n v="0"/>
    <n v="0"/>
    <n v="336.88999938964798"/>
    <n v="0"/>
    <n v="336.88999938964798"/>
    <n v="0"/>
    <n v="336.88999938964798"/>
    <n v="0"/>
    <n v="0"/>
    <n v="0"/>
    <s v="$0.00"/>
    <s v="$0.00"/>
    <s v="$0.00"/>
    <s v="0.00%"/>
    <s v="0.00%"/>
    <n v="14404.77"/>
    <n v="2890.66"/>
    <n v="0"/>
    <n v="0"/>
    <n v="0"/>
    <n v="0"/>
    <n v="0"/>
    <n v="0"/>
    <n v="1737.11"/>
    <n v="0.600938885929165"/>
    <n v="11514.11"/>
    <n v="0"/>
    <n v="0"/>
    <n v="0"/>
    <n v="0"/>
    <n v="555.24"/>
    <n v="4.822257213106354E-2"/>
    <n v="10919.72"/>
    <n v="0.94837725191091615"/>
    <s v="0.00"/>
    <s v="0.00"/>
    <s v="0.00"/>
    <s v="0.00%"/>
  </r>
  <r>
    <x v="1"/>
    <x v="2"/>
    <x v="23"/>
    <n v="132878.28000014299"/>
    <n v="6149"/>
    <n v="126729.280000143"/>
    <n v="76499.790407070905"/>
    <n v="36112.520365009099"/>
    <n v="40387.270042061798"/>
    <n v="3609.79001193866"/>
    <n v="72890.000395132229"/>
    <n v="45810.529490699999"/>
    <n v="1619.6899995803799"/>
    <n v="693"/>
    <n v="191.74354978375612"/>
    <n v="123.30167461740636"/>
    <n v="110.38930794671124"/>
    <n v="0.57571327990540344"/>
    <n v="0.93476792632135985"/>
    <n v="178849.53"/>
    <n v="95133.02"/>
    <n v="3348.24"/>
    <n v="3.5195350678450026E-2"/>
    <n v="2498.9699999999998"/>
    <n v="2.6268166405313313E-2"/>
    <n v="1950.85"/>
    <n v="2.0506549671186723E-2"/>
    <n v="6618.57"/>
    <n v="6.9571742808122769E-2"/>
    <n v="83716.509999999995"/>
    <n v="4733.8100000000004"/>
    <n v="5.6545716012289582E-2"/>
    <n v="1826.43"/>
    <n v="2.1816843535402995E-2"/>
    <n v="1987.7"/>
    <n v="2.3743225798590985E-2"/>
    <n v="59170.68"/>
    <n v="0.70679821698252832"/>
    <n v="41.076911522667189"/>
    <n v="22.753927975565098"/>
    <n v="483.7240562403698"/>
    <n v="4.2245429450350251E-2"/>
  </r>
  <r>
    <x v="1"/>
    <x v="2"/>
    <x v="24"/>
    <n v="76448.1699999962"/>
    <n v="6006"/>
    <n v="70442.1699999962"/>
    <n v="47396.270205058201"/>
    <n v="20474.8201956749"/>
    <n v="26921.450009383301"/>
    <n v="4300.7100076675397"/>
    <n v="43095.56019739066"/>
    <n v="21916.849775671999"/>
    <n v="1662.0800018310499"/>
    <n v="412"/>
    <n v="185.55381067960244"/>
    <n v="128.32339859828434"/>
    <n v="115.03949078897621"/>
    <n v="0.61997913364127033"/>
    <n v="0.97586379483623797"/>
    <n v="82441.52"/>
    <n v="51337.54"/>
    <n v="1618"/>
    <n v="3.1516897771104731E-2"/>
    <n v="553"/>
    <n v="1.0771844541051246E-2"/>
    <n v="-115.19"/>
    <n v="0"/>
    <n v="3249.88"/>
    <n v="6.3304162996512883E-2"/>
    <n v="31103.98"/>
    <n v="1301.25"/>
    <n v="4.1835482147300762E-2"/>
    <n v="1833.35"/>
    <n v="5.8942617632855986E-2"/>
    <n v="1943.29"/>
    <n v="6.2477213527014873E-2"/>
    <n v="18081.150000000001"/>
    <n v="0.5813130666879287"/>
    <n v="31.735141941423105"/>
    <n v="21.185125354161478"/>
    <n v="178.22928087097696"/>
    <n v="8.134616630707335E-2"/>
  </r>
  <r>
    <x v="1"/>
    <x v="2"/>
    <x v="25"/>
    <n v="62466"/>
    <n v="4686"/>
    <n v="57780"/>
    <n v="31262.620182990999"/>
    <n v="12861.590164184599"/>
    <n v="18401.030018806501"/>
    <n v="1345.1100009977799"/>
    <n v="29917.510181993319"/>
    <n v="15503.209852218601"/>
    <n v="676"/>
    <n v="332"/>
    <n v="188.15060240963857"/>
    <n v="139.4180426137994"/>
    <n v="94.164518623467174"/>
    <n v="0.50047418088225759"/>
    <n v="0.6956264225299218"/>
    <n v="42239.45"/>
    <n v="38748.67"/>
    <n v="364"/>
    <n v="9.3938708089851865E-3"/>
    <n v="0"/>
    <n v="0"/>
    <n v="0"/>
    <n v="0"/>
    <n v="0"/>
    <n v="0"/>
    <n v="3490.78"/>
    <n v="385.4"/>
    <n v="0.11040512435616108"/>
    <n v="0"/>
    <n v="0"/>
    <n v="0"/>
    <n v="0"/>
    <n v="0"/>
    <n v="0"/>
    <n v="22.253136588131436"/>
    <n v="22.105448414666807"/>
    <n v="24.035666743171909"/>
    <n v="2.9060343063392422E-2"/>
  </r>
  <r>
    <x v="1"/>
    <x v="2"/>
    <x v="26"/>
    <n v="87482.740000607402"/>
    <n v="3060"/>
    <n v="84422.740000607402"/>
    <n v="52513.870236471303"/>
    <n v="23151.640207603599"/>
    <n v="29362.2300288677"/>
    <n v="3422.9699883460999"/>
    <n v="49090.900248125196"/>
    <n v="29236.2296941727"/>
    <n v="860"/>
    <n v="432"/>
    <n v="202.50634259399862"/>
    <n v="132.83914422785813"/>
    <n v="121.55988480664652"/>
    <n v="0.6002769258954016"/>
    <n v="0.97313611981215065"/>
    <n v="74688.12"/>
    <n v="57030.35"/>
    <n v="1654.1"/>
    <n v="2.9003854964944103E-2"/>
    <n v="898.3"/>
    <n v="1.5751262266494946E-2"/>
    <n v="44.57"/>
    <n v="7.8151370279158378E-4"/>
    <n v="2208.25"/>
    <n v="3.872061104306742E-2"/>
    <n v="17657.77"/>
    <n v="1037.8499999999999"/>
    <n v="5.8775825033398885E-2"/>
    <n v="1152.8499999999999"/>
    <n v="6.5288538699960402E-2"/>
    <n v="868.17"/>
    <n v="4.9166457599119251E-2"/>
    <n v="5030.32"/>
    <n v="0.28487855487980646"/>
    <n v="24.902405331412844"/>
    <n v="19.889105750699457"/>
    <n v="133.95703628777341"/>
    <n v="5.9647641406804355E-2"/>
  </r>
  <r>
    <x v="1"/>
    <x v="2"/>
    <x v="27"/>
    <n v="94513.490000149206"/>
    <n v="4685"/>
    <n v="89828.490000149206"/>
    <n v="59222.730325222001"/>
    <n v="27259.3502531052"/>
    <n v="31963.380072116899"/>
    <n v="3225.6399953365299"/>
    <n v="55997.09032988557"/>
    <n v="30569.249622345"/>
    <n v="1370"/>
    <n v="569"/>
    <n v="166.10455184560493"/>
    <n v="109.97230294868929"/>
    <n v="104.08212710935344"/>
    <n v="0.62660611014500267"/>
    <n v="0.99787914025883662"/>
    <n v="95714.81"/>
    <n v="64602.59"/>
    <n v="2029.5"/>
    <n v="3.1415149144949146E-2"/>
    <n v="284.83999999999997"/>
    <n v="4.4091111517355576E-3"/>
    <n v="1300.7"/>
    <n v="2.0133867697874036E-2"/>
    <n v="4018.78"/>
    <n v="6.2207722631553941E-2"/>
    <n v="31112.22"/>
    <n v="1818.35"/>
    <n v="5.8444881143164963E-2"/>
    <n v="1504.14"/>
    <n v="4.8345633966332201E-2"/>
    <n v="2614.4"/>
    <n v="8.4031290598999359E-2"/>
    <n v="15860.32"/>
    <n v="0.50977783006162847"/>
    <n v="29.537713726300819"/>
    <n v="21.011519933321619"/>
    <n v="187.6490952955368"/>
    <n v="5.1549007640541829E-2"/>
  </r>
  <r>
    <x v="1"/>
    <x v="3"/>
    <x v="28"/>
    <n v="102169.680000145"/>
    <n v="4503"/>
    <n v="97666.680000145003"/>
    <n v="59828.089906573303"/>
    <n v="24450.849902033799"/>
    <n v="35377.240004539497"/>
    <n v="2372.7200013399101"/>
    <n v="57455.369905233383"/>
    <n v="26969.490167617801"/>
    <n v="903"/>
    <n v="505"/>
    <n v="202.3161980200891"/>
    <n v="147.12314818322218"/>
    <n v="118.47146516153128"/>
    <n v="0.5855757785136293"/>
    <n v="0.83181829559529319"/>
    <n v="95086.790000000008"/>
    <n v="69817.740000000005"/>
    <n v="2417.75"/>
    <n v="3.4629450910327375E-2"/>
    <n v="709.44"/>
    <n v="1.0161314302067067E-2"/>
    <n v="660.54"/>
    <n v="9.4609192448795957E-3"/>
    <n v="2217.35"/>
    <n v="3.1759120246516143E-2"/>
    <n v="25269.05"/>
    <n v="2706.3"/>
    <n v="0.10709939629705115"/>
    <n v="2630.7"/>
    <n v="0.10410759407259078"/>
    <n v="1405.35"/>
    <n v="5.5615466351129149E-2"/>
    <n v="9580.8700000000008"/>
    <n v="0.37915434098234801"/>
    <n v="28.838518205925993"/>
    <n v="22.467869536450021"/>
    <n v="133.15852801686282"/>
    <n v="3.1935528203532897E-2"/>
  </r>
  <r>
    <x v="1"/>
    <x v="3"/>
    <x v="29"/>
    <n v="166824.10999999801"/>
    <n v="9225"/>
    <n v="157599.10999999801"/>
    <n v="110531.789805301"/>
    <n v="47549.769814282699"/>
    <n v="62982.0199910179"/>
    <n v="5081.1500014662697"/>
    <n v="105450.63980383432"/>
    <n v="49771.170272558898"/>
    <n v="1301"/>
    <n v="841"/>
    <n v="198.36398335314865"/>
    <n v="137.63607577578966"/>
    <n v="131.42900095755124"/>
    <n v="0.66256484032974561"/>
    <n v="0.99874402341379853"/>
    <n v="184741.48"/>
    <n v="112096.82"/>
    <n v="2997.31"/>
    <n v="2.6738581879485964E-2"/>
    <n v="416.57"/>
    <n v="3.7161625102299957E-3"/>
    <n v="498.24"/>
    <n v="4.4447291189883883E-3"/>
    <n v="5306.47"/>
    <n v="4.7338274181194434E-2"/>
    <n v="72644.66"/>
    <n v="4474.47"/>
    <n v="6.1593928583326019E-2"/>
    <n v="5950.99"/>
    <n v="8.1919166529239723E-2"/>
    <n v="4065.25"/>
    <n v="5.5960754720305664E-2"/>
    <n v="42093.59"/>
    <n v="0.57944506863959433"/>
    <n v="31.832566018718413"/>
    <n v="20.372582886975341"/>
    <n v="241.18413014608237"/>
    <n v="4.38968885828682E-2"/>
  </r>
  <r>
    <x v="1"/>
    <x v="3"/>
    <x v="30"/>
    <n v="143723.41999999099"/>
    <n v="5210"/>
    <n v="138513.41999999099"/>
    <n v="87740.049710124702"/>
    <n v="41766.379772603497"/>
    <n v="45973.669937521197"/>
    <n v="3389.8700013160701"/>
    <n v="84350.179708808631"/>
    <n v="44712.300247192397"/>
    <n v="754.31999969482399"/>
    <n v="665"/>
    <n v="216.12544360900901"/>
    <n v="147.75458609489289"/>
    <n v="131.93992437612738"/>
    <n v="0.61047844331932954"/>
    <n v="0.92487497950750641"/>
    <n v="116760.78"/>
    <n v="90303.679999999993"/>
    <n v="2698.59"/>
    <n v="2.9883499764350691E-2"/>
    <n v="2656.41"/>
    <n v="2.9416409165163592E-2"/>
    <n v="571.34"/>
    <n v="6.3268739435646485E-3"/>
    <n v="931"/>
    <n v="1.0309657369444968E-2"/>
    <n v="26457.1"/>
    <n v="2399.7800000000002"/>
    <n v="9.0704574575444785E-2"/>
    <n v="2995.79"/>
    <n v="0.1132319868768686"/>
    <n v="3200.64"/>
    <n v="0.12097471000223002"/>
    <n v="4036.4"/>
    <n v="0.15256396203665559"/>
    <n v="25.011874813077959"/>
    <n v="20.231522377196573"/>
    <n v="129.24816805080604"/>
    <n v="3.4500105945176482E-2"/>
  </r>
  <r>
    <x v="1"/>
    <x v="3"/>
    <x v="31"/>
    <n v="194446.23999999501"/>
    <n v="10218"/>
    <n v="184228.23999999501"/>
    <n v="112132.71977106501"/>
    <n v="51165.839790213897"/>
    <n v="60966.879980851001"/>
    <n v="4603.8300000429199"/>
    <n v="107528.88977102199"/>
    <n v="48363.970201533302"/>
    <n v="561"/>
    <n v="1152"/>
    <n v="168.79013888888457"/>
    <n v="126.32054670005355"/>
    <n v="97.33743035682717"/>
    <n v="0.57667723362029411"/>
    <n v="0.79573344457201201"/>
    <n v="195458.97000000003"/>
    <n v="147353.67000000001"/>
    <n v="2824.73"/>
    <n v="1.9169729535748921E-2"/>
    <n v="12200.59"/>
    <n v="8.2798005641800426E-2"/>
    <n v="9500.51"/>
    <n v="6.4474200065732998E-2"/>
    <n v="4149.18"/>
    <n v="2.8157968512083884E-2"/>
    <n v="48105.3"/>
    <n v="5417.81"/>
    <n v="0.11262397282627902"/>
    <n v="5657.67"/>
    <n v="0.11761011780406733"/>
    <n v="4694.95"/>
    <n v="9.7597354137693756E-2"/>
    <n v="12862.66"/>
    <n v="0.267385506378715"/>
    <n v="31.372534762809604"/>
    <n v="25.017639953882924"/>
    <n v="141.37529388714734"/>
    <n v="3.1636818496835209E-2"/>
  </r>
  <r>
    <x v="1"/>
    <x v="3"/>
    <x v="32"/>
    <n v="0"/>
    <n v="0"/>
    <n v="0"/>
    <n v="0"/>
    <n v="0"/>
    <n v="0"/>
    <n v="0"/>
    <n v="0"/>
    <n v="0"/>
    <n v="0"/>
    <n v="0"/>
    <s v="$0.00"/>
    <s v="$0.00"/>
    <s v="$0.00"/>
    <s v="0.00%"/>
    <s v="0.00%"/>
    <n v="0"/>
    <n v="0"/>
    <n v="0"/>
    <s v="0.00%"/>
    <n v="0"/>
    <s v="0.00%"/>
    <n v="0"/>
    <n v="0"/>
    <n v="0"/>
    <s v="0.00%"/>
    <n v="0"/>
    <n v="0"/>
    <s v="0.00%"/>
    <n v="0"/>
    <s v="0.00%"/>
    <n v="0"/>
    <n v="0"/>
    <n v="0"/>
    <s v="0.00%"/>
    <s v="0.00"/>
    <s v="0.00"/>
    <s v="0.00"/>
    <s v="0.00%"/>
  </r>
  <r>
    <x v="1"/>
    <x v="3"/>
    <x v="33"/>
    <n v="95313.699999995501"/>
    <n v="4167"/>
    <n v="90709.689999995797"/>
    <n v="63702.249869942701"/>
    <n v="28928.189896702799"/>
    <n v="34774.059973239899"/>
    <n v="2570.97000318766"/>
    <n v="61131.279866755038"/>
    <n v="31300.7500927728"/>
    <n v="796.43999862670898"/>
    <n v="439"/>
    <n v="216.12002277903372"/>
    <n v="143.00569455261115"/>
    <n v="145.10763068324076"/>
    <n v="0.67142150374286369"/>
    <n v="1.0580269933516548"/>
    <n v="71839.45"/>
    <n v="58056.36"/>
    <n v="2400.09"/>
    <n v="4.1340690322300609E-2"/>
    <n v="633"/>
    <n v="1.0903198202574188E-2"/>
    <n v="-146.19999999999999"/>
    <n v="0"/>
    <n v="0"/>
    <n v="0"/>
    <n v="13783.09"/>
    <n v="2254.12"/>
    <n v="0.16354242771395963"/>
    <n v="1841.92"/>
    <n v="0.13363621655231156"/>
    <n v="1343.15"/>
    <n v="9.7449120625345997E-2"/>
    <n v="490.96"/>
    <n v="3.562045956313134E-2"/>
    <n v="21.46086667832579"/>
    <n v="18.325798903888511"/>
    <n v="80.056669893514041"/>
    <n v="4.0669280966396201E-2"/>
  </r>
  <r>
    <x v="1"/>
    <x v="3"/>
    <x v="34"/>
    <n v="53124.759999994203"/>
    <n v="2044"/>
    <n v="51080.759999994203"/>
    <n v="30281.2599183321"/>
    <n v="14944.109905838999"/>
    <n v="15337.150012493101"/>
    <n v="1340.4699966907499"/>
    <n v="28940.78992164135"/>
    <n v="13226.6901111603"/>
    <n v="204"/>
    <n v="336"/>
    <n v="158.1094047618875"/>
    <n v="118.13711276438661"/>
    <n v="90.122797375988398"/>
    <n v="0.57000276176937847"/>
    <n v="0.78952849285303472"/>
    <n v="36346.400000000001"/>
    <n v="33150.36"/>
    <n v="1256.52"/>
    <n v="3.7903660774724617E-2"/>
    <n v="0"/>
    <n v="0"/>
    <n v="0"/>
    <n v="0"/>
    <n v="0"/>
    <n v="0"/>
    <n v="3196.04"/>
    <n v="1357.77"/>
    <n v="0.42482885070274462"/>
    <n v="269.61"/>
    <n v="8.4357517427816928E-2"/>
    <n v="0"/>
    <n v="0"/>
    <n v="0"/>
    <n v="0"/>
    <n v="23.246986546754258"/>
    <n v="22.010895330201411"/>
    <n v="55.680139372822296"/>
    <n v="3.3770031655731766E-2"/>
  </r>
  <r>
    <x v="1"/>
    <x v="3"/>
    <x v="35"/>
    <n v="0"/>
    <n v="0"/>
    <n v="0"/>
    <n v="0"/>
    <n v="0"/>
    <n v="0"/>
    <n v="0"/>
    <n v="0"/>
    <n v="0"/>
    <n v="0"/>
    <n v="0"/>
    <s v="$0.00"/>
    <s v="$0.00"/>
    <s v="$0.00"/>
    <s v="0.00%"/>
    <s v="0.00%"/>
    <n v="0"/>
    <n v="0"/>
    <n v="0"/>
    <s v="0.00%"/>
    <n v="0"/>
    <s v="0.00%"/>
    <n v="0"/>
    <n v="0"/>
    <n v="0"/>
    <s v="0.00%"/>
    <n v="0"/>
    <n v="0"/>
    <s v="0.00%"/>
    <n v="0"/>
    <s v="0.00%"/>
    <n v="0"/>
    <n v="0"/>
    <n v="0"/>
    <s v="0.00%"/>
    <s v="0.00"/>
    <s v="0.00"/>
    <s v="0.00"/>
    <s v="0.00%"/>
  </r>
  <r>
    <x v="1"/>
    <x v="3"/>
    <x v="36"/>
    <n v="0"/>
    <n v="0"/>
    <n v="0"/>
    <n v="0"/>
    <n v="0"/>
    <n v="0"/>
    <n v="0"/>
    <n v="0"/>
    <n v="0"/>
    <n v="0"/>
    <n v="0"/>
    <s v="$0.00"/>
    <s v="$0.00"/>
    <s v="$0.00"/>
    <s v="0.00%"/>
    <s v="0.00%"/>
    <n v="0"/>
    <n v="0"/>
    <n v="0"/>
    <s v="0.00%"/>
    <n v="0"/>
    <s v="0.00%"/>
    <n v="0"/>
    <n v="0"/>
    <n v="0"/>
    <s v="0.00%"/>
    <n v="0"/>
    <n v="0"/>
    <s v="0.00%"/>
    <n v="0"/>
    <s v="0.00%"/>
    <n v="0"/>
    <n v="0"/>
    <n v="0"/>
    <s v="0.00%"/>
    <s v="0.00"/>
    <s v="0.00"/>
    <s v="0.00"/>
    <s v="0.00%"/>
  </r>
  <r>
    <x v="1"/>
    <x v="4"/>
    <x v="37"/>
    <n v="47037.670001216196"/>
    <n v="4848"/>
    <n v="42189.670001216196"/>
    <n v="18478.089960098299"/>
    <n v="5207.0899600982702"/>
    <n v="13271"/>
    <n v="0"/>
    <n v="18478.08996009827"/>
    <n v="5379.5300025939896"/>
    <n v="264"/>
    <n v="216"/>
    <n v="217.76699074637128"/>
    <n v="191.63953703065837"/>
    <n v="85.546712778232731"/>
    <n v="0.39283599633273725"/>
    <n v="0.4463938605974978"/>
    <n v="24159.55"/>
    <n v="23667.71"/>
    <n v="0"/>
    <n v="0"/>
    <n v="0"/>
    <n v="0"/>
    <n v="0"/>
    <n v="0"/>
    <n v="0"/>
    <n v="0"/>
    <n v="491.84"/>
    <n v="0"/>
    <n v="0"/>
    <n v="0"/>
    <n v="0"/>
    <n v="0"/>
    <n v="0"/>
    <n v="0"/>
    <n v="0"/>
    <n v="28.420397582524014"/>
    <n v="31.084006953803009"/>
    <n v="5.5470676691729324"/>
    <n v="0"/>
  </r>
  <r>
    <x v="1"/>
    <x v="4"/>
    <x v="38"/>
    <n v="141317.02999997701"/>
    <n v="7949"/>
    <n v="133368.02999997701"/>
    <n v="82466.459865927696"/>
    <n v="39529.609890580199"/>
    <n v="42936.849975347497"/>
    <n v="3479.2400069236801"/>
    <n v="78987.219859004021"/>
    <n v="37926.160211563103"/>
    <n v="1151.9400005340599"/>
    <n v="662"/>
    <n v="213.46983383682328"/>
    <n v="154.43947097867044"/>
    <n v="124.57169164037417"/>
    <n v="0.58355641826000104"/>
    <n v="0.8350214550980668"/>
    <n v="112324.23"/>
    <n v="100142.42"/>
    <n v="7315.85"/>
    <n v="7.3054455843986996E-2"/>
    <n v="4412.3900000000003"/>
    <n v="4.4061148112857669E-2"/>
    <n v="0"/>
    <n v="0"/>
    <n v="0"/>
    <n v="0"/>
    <n v="12181.81"/>
    <n v="3365.96"/>
    <n v="0.27631033483529954"/>
    <n v="2347.8000000000002"/>
    <n v="0.19272998019177776"/>
    <n v="0"/>
    <n v="0"/>
    <n v="0"/>
    <n v="0"/>
    <n v="24.283647486738339"/>
    <n v="23.099435353692343"/>
    <n v="41.972470426093949"/>
    <n v="3.4030481482369104E-2"/>
  </r>
  <r>
    <x v="1"/>
    <x v="4"/>
    <x v="39"/>
    <n v="0"/>
    <n v="0"/>
    <n v="0"/>
    <n v="0"/>
    <n v="0"/>
    <n v="0"/>
    <n v="0"/>
    <n v="0"/>
    <n v="0"/>
    <n v="0"/>
    <n v="0"/>
    <s v="$0.00"/>
    <s v="$0.00"/>
    <s v="$0.00"/>
    <s v="0.00%"/>
    <s v="0.00%"/>
    <n v="63.93"/>
    <n v="0"/>
    <n v="0"/>
    <s v="0.00%"/>
    <n v="0"/>
    <s v="0.00%"/>
    <n v="0"/>
    <n v="0"/>
    <n v="0"/>
    <s v="0.00%"/>
    <n v="63.93"/>
    <n v="0"/>
    <n v="0"/>
    <n v="0"/>
    <n v="0"/>
    <n v="0"/>
    <n v="0"/>
    <n v="63.93"/>
    <n v="1"/>
    <s v="0.00"/>
    <s v="0.00"/>
    <s v="0.00"/>
    <s v="0.00%"/>
  </r>
  <r>
    <x v="1"/>
    <x v="4"/>
    <x v="40"/>
    <n v="240514.180000586"/>
    <n v="9758"/>
    <n v="230756.180000586"/>
    <n v="142000.05986577299"/>
    <n v="70759.349864780903"/>
    <n v="71240.710000991807"/>
    <n v="8474.9400035142899"/>
    <n v="133525.11986225843"/>
    <n v="68082.350262820706"/>
    <n v="2606.6399993896498"/>
    <n v="1180"/>
    <n v="203.82557627168305"/>
    <n v="143.91965232065735"/>
    <n v="120.33903378455315"/>
    <n v="0.59040202895906901"/>
    <n v="0.88007338134966739"/>
    <n v="306555.14"/>
    <n v="182715.9"/>
    <n v="5618.63"/>
    <n v="3.0750635275857221E-2"/>
    <n v="1812.66"/>
    <n v="9.9206472999886722E-3"/>
    <n v="1552.26"/>
    <n v="8.4954839726591944E-3"/>
    <n v="11222.25"/>
    <n v="6.1419121160227436E-2"/>
    <n v="123839.24"/>
    <n v="6040.4"/>
    <n v="4.8776139130052798E-2"/>
    <n v="5028.87"/>
    <n v="4.0608049597203599E-2"/>
    <n v="5254.59"/>
    <n v="4.2430735201540316E-2"/>
    <n v="88498.57"/>
    <n v="0.71462462140433036"/>
    <n v="38.406937112380326"/>
    <n v="23.970658374149764"/>
    <n v="344.68406550076543"/>
    <n v="4.9903904223927945E-2"/>
  </r>
  <r>
    <x v="1"/>
    <x v="4"/>
    <x v="41"/>
    <n v="0"/>
    <n v="0"/>
    <n v="0"/>
    <n v="442.23999786376999"/>
    <n v="88.790000915527301"/>
    <n v="353.44999694824202"/>
    <n v="74.930000305175795"/>
    <n v="367.30999755859352"/>
    <n v="94.330001831054702"/>
    <n v="0"/>
    <n v="0"/>
    <s v="$0.00"/>
    <s v="$0.00"/>
    <s v="$0.00"/>
    <s v="0.00%"/>
    <n v="-2.6127850188010058"/>
    <n v="6269.7699999999995"/>
    <n v="822.12"/>
    <n v="0"/>
    <n v="0"/>
    <n v="0"/>
    <n v="0"/>
    <n v="354.04"/>
    <n v="0.43064272855544206"/>
    <n v="463.08"/>
    <n v="0.56327543424317617"/>
    <n v="5447.65"/>
    <n v="0"/>
    <n v="0"/>
    <n v="0"/>
    <n v="0"/>
    <n v="53.47"/>
    <n v="9.8152414343799631E-3"/>
    <n v="5458.26"/>
    <n v="1.0019476287940672"/>
    <s v="0.00"/>
    <s v="0.00"/>
    <s v="0.00"/>
    <n v="-0.79433901039645516"/>
  </r>
  <r>
    <x v="1"/>
    <x v="4"/>
    <x v="42"/>
    <n v="264328.24999842601"/>
    <n v="7779"/>
    <n v="256549.24999842601"/>
    <n v="145022.69983216599"/>
    <n v="84381.119826042996"/>
    <n v="60641.580006122596"/>
    <n v="6041.9999927282297"/>
    <n v="138980.69983943735"/>
    <n v="72481.210230087905"/>
    <n v="4545.5100326538104"/>
    <n v="1270"/>
    <n v="208.13248031372126"/>
    <n v="147.48151947691676"/>
    <n v="114.19110223005164"/>
    <n v="0.54864623752107144"/>
    <n v="0.80008317376648896"/>
    <n v="434781.29000000004"/>
    <n v="241996.81"/>
    <n v="7036.26"/>
    <n v="2.9075837817862146E-2"/>
    <n v="5979.06"/>
    <n v="2.470718518975519E-2"/>
    <n v="3593.11"/>
    <n v="1.4847757703913536E-2"/>
    <n v="17394.599999999999"/>
    <n v="7.1879459898665607E-2"/>
    <n v="192784.48"/>
    <n v="6165.87"/>
    <n v="3.1983228110478601E-2"/>
    <n v="6142.57"/>
    <n v="3.1862367759064418E-2"/>
    <n v="7127.41"/>
    <n v="3.6970870269224985E-2"/>
    <n v="154339.37"/>
    <n v="0.8005798495812525"/>
    <n v="50.339944131717949"/>
    <n v="28.974293496408524"/>
    <n v="676.95141335518235"/>
    <n v="3.2258145468723957E-2"/>
  </r>
  <r>
    <x v="1"/>
    <x v="4"/>
    <x v="43"/>
    <n v="0"/>
    <n v="0"/>
    <n v="0"/>
    <n v="0"/>
    <n v="0"/>
    <n v="0"/>
    <n v="0"/>
    <n v="0"/>
    <n v="0"/>
    <n v="0"/>
    <n v="0"/>
    <s v="$0.00"/>
    <s v="$0.00"/>
    <s v="$0.00"/>
    <s v="0.00%"/>
    <s v="0.00%"/>
    <n v="357.61"/>
    <n v="0"/>
    <n v="0"/>
    <s v="0.00%"/>
    <n v="0"/>
    <s v="0.00%"/>
    <n v="0"/>
    <n v="0"/>
    <n v="0"/>
    <s v="0.00%"/>
    <n v="357.61"/>
    <n v="0"/>
    <n v="0"/>
    <n v="0"/>
    <n v="0"/>
    <n v="0"/>
    <n v="0"/>
    <n v="357.61"/>
    <n v="1"/>
    <s v="0.00"/>
    <s v="0.00"/>
    <s v="0.00"/>
    <s v="0.00%"/>
  </r>
  <r>
    <x v="1"/>
    <x v="4"/>
    <x v="44"/>
    <n v="171460.910000592"/>
    <n v="9963"/>
    <n v="161497.910000592"/>
    <n v="110398.839904875"/>
    <n v="52309.729899883299"/>
    <n v="58089.1100049913"/>
    <n v="5698.6599952578499"/>
    <n v="104700.17990961674"/>
    <n v="39308.980111479803"/>
    <n v="513.80000019073498"/>
    <n v="872"/>
    <n v="196.62948394563304"/>
    <n v="150.96115812949708"/>
    <n v="126.60417420283784"/>
    <n v="0.64387177173207244"/>
    <n v="0.87660238682987424"/>
    <n v="252935.05"/>
    <n v="139573.35"/>
    <n v="5243.63"/>
    <n v="3.7568991501601132E-2"/>
    <n v="3476.84"/>
    <n v="2.491048613506805E-2"/>
    <n v="1630.14"/>
    <n v="1.1679450267547494E-2"/>
    <n v="11005.75"/>
    <n v="7.8852803919946035E-2"/>
    <n v="113361.7"/>
    <n v="4331.7700000000004"/>
    <n v="3.8211935777251051E-2"/>
    <n v="3662.53"/>
    <n v="3.2308354585367016E-2"/>
    <n v="5528.09"/>
    <n v="4.8765059098443302E-2"/>
    <n v="87565.39"/>
    <n v="0.77244245631461073"/>
    <n v="42.98197431605211"/>
    <n v="25.099837059641064"/>
    <n v="349.9357925605803"/>
    <n v="4.3290344523022918E-2"/>
  </r>
  <r>
    <x v="1"/>
    <x v="4"/>
    <x v="45"/>
    <n v="42750.009999999798"/>
    <n v="3784"/>
    <n v="38966.009999999798"/>
    <n v="22330.079946160298"/>
    <n v="8405.5799480676706"/>
    <n v="13924.4999980927"/>
    <n v="453.22000122070301"/>
    <n v="21876.859944939668"/>
    <n v="8934.6400680541992"/>
    <n v="318"/>
    <n v="251"/>
    <n v="170.31876494023825"/>
    <n v="133.45565709938487"/>
    <n v="88.964461936893912"/>
    <n v="0.52234092918716224"/>
    <n v="0.67576499903837928"/>
    <n v="27252.87"/>
    <n v="23288.19"/>
    <n v="150"/>
    <n v="6.4410329871063404E-3"/>
    <n v="0"/>
    <n v="0"/>
    <n v="0"/>
    <n v="0"/>
    <n v="0"/>
    <n v="0"/>
    <n v="3964.68"/>
    <n v="525"/>
    <n v="0.13241926208420352"/>
    <n v="0"/>
    <n v="0"/>
    <n v="0"/>
    <n v="0"/>
    <n v="0"/>
    <n v="0"/>
    <n v="21.224808578565863"/>
    <n v="19.868892656129333"/>
    <n v="35.425128412418623"/>
    <n v="1.353001749514903E-2"/>
  </r>
  <r>
    <x v="1"/>
    <x v="4"/>
    <x v="46"/>
    <n v="0"/>
    <n v="0"/>
    <n v="0"/>
    <n v="183.10000228881799"/>
    <n v="156.09000205993701"/>
    <n v="27.0100002288818"/>
    <n v="687.47999572753895"/>
    <n v="-504.37999343872013"/>
    <n v="168.90999794006299"/>
    <n v="0"/>
    <n v="0"/>
    <s v="$0.00"/>
    <s v="$0.00"/>
    <s v="$0.00"/>
    <s v="0.00%"/>
    <n v="-0.21380446250273097"/>
    <n v="9467.2900000000009"/>
    <n v="1017"/>
    <n v="0"/>
    <n v="0"/>
    <n v="0"/>
    <n v="0"/>
    <n v="0"/>
    <n v="0"/>
    <n v="1017"/>
    <n v="1"/>
    <n v="8450.2900000000009"/>
    <n v="0"/>
    <n v="0"/>
    <n v="0"/>
    <n v="0"/>
    <n v="5.5"/>
    <n v="6.5086523657767947E-4"/>
    <n v="7977.08"/>
    <n v="0.94400073843619559"/>
    <s v="0.00"/>
    <s v="0.00"/>
    <s v="0.00"/>
    <n v="-4.0700965254376973"/>
  </r>
  <r>
    <x v="1"/>
    <x v="4"/>
    <x v="47"/>
    <n v="213621.47999997801"/>
    <n v="11808"/>
    <n v="201813.47999997801"/>
    <n v="144146.47979798901"/>
    <n v="68710.549822568893"/>
    <n v="75435.929975420193"/>
    <n v="8484.5599915981293"/>
    <n v="135661.91980639094"/>
    <n v="66635.000261286303"/>
    <n v="1495.12999916077"/>
    <n v="1082"/>
    <n v="197.43205175598706"/>
    <n v="134.46520308644264"/>
    <n v="133.22225489647789"/>
    <n v="0.67477521360681481"/>
    <n v="1.0521119432342876"/>
    <n v="361674.36"/>
    <n v="175875.35"/>
    <n v="6890.52"/>
    <n v="3.9178429495662699E-2"/>
    <n v="4065.01"/>
    <n v="2.3113017259098562E-2"/>
    <n v="7131.81"/>
    <n v="4.0550367063946144E-2"/>
    <n v="16950.22"/>
    <n v="9.6376325619252509E-2"/>
    <n v="185799.01"/>
    <n v="5470.02"/>
    <n v="2.9440522853162673E-2"/>
    <n v="5933.83"/>
    <n v="3.1936822483607422E-2"/>
    <n v="6369.5"/>
    <n v="3.4281668131600912E-2"/>
    <n v="145601"/>
    <n v="0.78364787842518635"/>
    <n v="48.355877426495525"/>
    <n v="24.873780400743865"/>
    <n v="454.59122456469441"/>
    <n v="5.8316594125958673E-2"/>
  </r>
  <r>
    <x v="1"/>
    <x v="4"/>
    <x v="48"/>
    <n v="0"/>
    <n v="0"/>
    <n v="0"/>
    <n v="0"/>
    <n v="0"/>
    <n v="0"/>
    <n v="0"/>
    <n v="0"/>
    <n v="0"/>
    <n v="0"/>
    <n v="0"/>
    <s v="$0.00"/>
    <s v="$0.00"/>
    <s v="$0.00"/>
    <s v="0.00%"/>
    <s v="0.00%"/>
    <n v="287.2"/>
    <n v="0"/>
    <n v="0"/>
    <s v="0.00%"/>
    <n v="0"/>
    <s v="0.00%"/>
    <n v="0"/>
    <n v="0"/>
    <n v="0"/>
    <s v="0.00%"/>
    <n v="287.2"/>
    <n v="0"/>
    <n v="0"/>
    <n v="0"/>
    <n v="0"/>
    <n v="0"/>
    <n v="0"/>
    <n v="287.2"/>
    <n v="1"/>
    <s v="0.00"/>
    <s v="0.00"/>
    <s v="0.00"/>
    <s v="0.00%"/>
  </r>
  <r>
    <x v="1"/>
    <x v="4"/>
    <x v="49"/>
    <n v="136897.519999977"/>
    <n v="7864"/>
    <n v="129033.519999977"/>
    <n v="81906.279884464995"/>
    <n v="42884.679888136699"/>
    <n v="39021.599996328398"/>
    <n v="4067.9899916648901"/>
    <n v="77838.289892800211"/>
    <n v="38031.170060329103"/>
    <n v="672.59999847412098"/>
    <n v="729"/>
    <n v="187.78809327843209"/>
    <n v="134.69650197691874"/>
    <n v="112.35429339432798"/>
    <n v="0.59830360611703459"/>
    <n v="0.87017921479095006"/>
    <n v="289695.64"/>
    <n v="148590.46"/>
    <n v="7046.11"/>
    <n v="4.7419666107770313E-2"/>
    <n v="1743.55"/>
    <n v="1.1733929621053735E-2"/>
    <n v="2808.16"/>
    <n v="1.8898656077920479E-2"/>
    <n v="16525.7"/>
    <n v="0.11121642668042081"/>
    <n v="141105.18"/>
    <n v="4793.5"/>
    <n v="3.397111289606803E-2"/>
    <n v="4417.46"/>
    <n v="3.1306150490010363E-2"/>
    <n v="5769.96"/>
    <n v="4.0891199033231809E-2"/>
    <n v="115982.65"/>
    <n v="0.82195883949830895"/>
    <n v="60.689683585603397"/>
    <n v="33.026889859105175"/>
    <n v="514.38792150191387"/>
    <n v="4.142819674472107E-2"/>
  </r>
  <r>
    <x v="2"/>
    <x v="0"/>
    <x v="0"/>
    <n v="0"/>
    <n v="0"/>
    <n v="0"/>
    <n v="39.210000038147001"/>
    <n v="9.2100000381469709"/>
    <n v="30"/>
    <n v="10"/>
    <n v="29.210000038146973"/>
    <n v="-9.2100000381469709"/>
    <n v="0"/>
    <n v="0"/>
    <s v="$0.00"/>
    <s v="$0.00"/>
    <s v="$0.00"/>
    <s v="0.00%"/>
    <n v="-49.632913837332012"/>
    <n v="6370.4000000000005"/>
    <n v="-309.66000000000003"/>
    <n v="0"/>
    <n v="0"/>
    <n v="0"/>
    <n v="0"/>
    <n v="0"/>
    <n v="0"/>
    <n v="-309.66000000000003"/>
    <n v="0"/>
    <n v="6680.06"/>
    <n v="0"/>
    <n v="0"/>
    <n v="0"/>
    <n v="0"/>
    <n v="0"/>
    <n v="0"/>
    <n v="6680.06"/>
    <n v="1"/>
    <s v="0.00"/>
    <s v="0.00"/>
    <s v="0.00"/>
    <n v="1.0857763255788189"/>
  </r>
  <r>
    <x v="2"/>
    <x v="0"/>
    <x v="1"/>
    <n v="182385.26999844037"/>
    <n v="8044"/>
    <n v="174341.26999844037"/>
    <n v="119657.44994151639"/>
    <n v="61734.839928507783"/>
    <n v="57922.610013008103"/>
    <n v="3329.1900084018698"/>
    <n v="116328.25993311402"/>
    <n v="57813.400112092502"/>
    <n v="1756.3200006484999"/>
    <n v="999"/>
    <n v="182.56783783627665"/>
    <n v="122.93848837407346"/>
    <n v="119.77722716868458"/>
    <n v="0.65606970312097634"/>
    <n v="1.0014318794579906"/>
    <n v="330289.02"/>
    <n v="158375.57"/>
    <n v="7463.53"/>
    <n v="4.7125513107861262E-2"/>
    <n v="3525.36"/>
    <n v="2.2259493683274512E-2"/>
    <n v="2008.5"/>
    <n v="1.2681880166240285E-2"/>
    <n v="20094.060000000001"/>
    <n v="0.12687600745493766"/>
    <n v="171913.45"/>
    <n v="5066.2"/>
    <n v="2.9469480136661789E-2"/>
    <n v="4975.12"/>
    <n v="2.8939678658068926E-2"/>
    <n v="3489.74"/>
    <n v="2.029940065771468E-2"/>
    <n v="137446.03"/>
    <n v="0.79950713571276699"/>
    <n v="52.499391620260518"/>
    <n v="26.390195308192713"/>
    <n v="592.82771370550597"/>
    <n v="2.7107235293089869E-2"/>
  </r>
  <r>
    <x v="2"/>
    <x v="0"/>
    <x v="2"/>
    <n v="0"/>
    <n v="0"/>
    <n v="0"/>
    <n v="109.739997386932"/>
    <n v="5.1100001335143999"/>
    <n v="104.629997253418"/>
    <n v="0"/>
    <n v="109.7399973869324"/>
    <n v="-5.1100001335143999"/>
    <n v="0"/>
    <n v="1"/>
    <n v="0"/>
    <n v="5.1100001335143999"/>
    <n v="109.7399973869324"/>
    <s v="0.00%"/>
    <n v="21.475537087991967"/>
    <n v="7625.52"/>
    <n v="61"/>
    <n v="0"/>
    <n v="0"/>
    <n v="0"/>
    <n v="0"/>
    <n v="-5"/>
    <n v="0"/>
    <n v="66"/>
    <n v="1.0819672131147542"/>
    <n v="7564.52"/>
    <n v="0"/>
    <n v="0"/>
    <n v="0"/>
    <n v="0"/>
    <n v="113.6"/>
    <n v="1.5017476323679491E-2"/>
    <n v="7450.92"/>
    <n v="0.98498252367632044"/>
    <s v="0.00"/>
    <s v="0.00"/>
    <s v="0.00"/>
    <n v="0"/>
  </r>
  <r>
    <x v="2"/>
    <x v="0"/>
    <x v="3"/>
    <n v="196556.240003468"/>
    <n v="13770"/>
    <n v="182786.240003468"/>
    <n v="125627.15985655801"/>
    <n v="56885.629875659899"/>
    <n v="68741.529980897903"/>
    <n v="2476.9999992847402"/>
    <n v="123150.15985727306"/>
    <n v="56662.280218958898"/>
    <n v="2005.0600051879901"/>
    <n v="1028"/>
    <n v="191.20256809675877"/>
    <n v="134.13317099155751"/>
    <n v="122.20540842077607"/>
    <n v="0.63914104102897606"/>
    <n v="0.92774091538946779"/>
    <n v="233864.22999999998"/>
    <n v="162020.31"/>
    <n v="5985.84"/>
    <n v="3.694499782156941E-2"/>
    <n v="1953.09"/>
    <n v="1.2054599821466826E-2"/>
    <n v="5049.47"/>
    <n v="3.1165660650815941E-2"/>
    <n v="20824.93"/>
    <n v="0.12853283640797875"/>
    <n v="71843.92"/>
    <n v="5624.9"/>
    <n v="7.8293333659967324E-2"/>
    <n v="4152.2"/>
    <n v="5.7794730577062053E-2"/>
    <n v="4180.1899999999996"/>
    <n v="5.8184325131479461E-2"/>
    <n v="42551.19"/>
    <n v="0.59227266552270541"/>
    <n v="37.663624681440773"/>
    <n v="28.262381455834717"/>
    <n v="150.75313702175282"/>
    <n v="1.7963737496266619E-2"/>
  </r>
  <r>
    <x v="2"/>
    <x v="0"/>
    <x v="4"/>
    <n v="0"/>
    <n v="0"/>
    <n v="0"/>
    <n v="115.80000209808399"/>
    <n v="115.80000209808399"/>
    <n v="0"/>
    <n v="50"/>
    <n v="65.800002098083993"/>
    <n v="140.20000553131101"/>
    <n v="0"/>
    <n v="0"/>
    <s v="$0.00"/>
    <s v="$0.00"/>
    <s v="$0.00"/>
    <s v="0.00%"/>
    <n v="-0.60883280089611158"/>
    <n v="3984.74"/>
    <n v="1306.8399999999999"/>
    <n v="0"/>
    <n v="0"/>
    <n v="0"/>
    <n v="0"/>
    <n v="0"/>
    <n v="0"/>
    <n v="1306.8399999999999"/>
    <n v="1"/>
    <n v="2677.9"/>
    <n v="0"/>
    <n v="0"/>
    <n v="0"/>
    <n v="0"/>
    <n v="0"/>
    <n v="0"/>
    <n v="2677.9"/>
    <n v="1"/>
    <s v="0.00"/>
    <s v="0.00"/>
    <s v="0.00"/>
    <n v="-0.35663336681419355"/>
  </r>
  <r>
    <x v="2"/>
    <x v="0"/>
    <x v="5"/>
    <n v="393364.50001072697"/>
    <n v="19932"/>
    <n v="373432.50001072697"/>
    <n v="234475.65986232599"/>
    <n v="107206.439848768"/>
    <n v="127269.220013559"/>
    <n v="4206.9200071990499"/>
    <n v="230268.73985512793"/>
    <n v="109884.870260082"/>
    <n v="2716.8199968337999"/>
    <n v="1957"/>
    <n v="201.00383240200662"/>
    <n v="143.46592220429798"/>
    <n v="119.81382721631425"/>
    <n v="0.59607732740481889"/>
    <n v="0.84784185965867453"/>
    <n v="569504.34"/>
    <n v="307891.3"/>
    <n v="6764.75"/>
    <n v="2.1971228157469862E-2"/>
    <n v="5661.85"/>
    <n v="1.8389119796499612E-2"/>
    <n v="7140.17"/>
    <n v="2.3190554588583698E-2"/>
    <n v="19663.259999999998"/>
    <n v="6.3864292365519909E-2"/>
    <n v="261613.04"/>
    <n v="9443.67"/>
    <n v="3.6097856590023188E-2"/>
    <n v="9336.85"/>
    <n v="3.5689543609905686E-2"/>
    <n v="11531.65"/>
    <n v="4.4079033675079801E-2"/>
    <n v="189936.17"/>
    <n v="0.72601950575552354"/>
    <n v="45.105494174782926"/>
    <n v="25.630299723381889"/>
    <n v="426.58929112054165"/>
    <n v="1.4983893382773585E-2"/>
  </r>
  <r>
    <x v="2"/>
    <x v="0"/>
    <x v="6"/>
    <n v="0"/>
    <n v="0"/>
    <n v="0"/>
    <n v="1419.0899963378899"/>
    <n v="400.090000152588"/>
    <n v="1018.9999961853"/>
    <n v="51.829999923706097"/>
    <n v="1367.2599964141818"/>
    <n v="26.569999694824201"/>
    <n v="0"/>
    <n v="0"/>
    <s v="$0.00"/>
    <s v="$0.00"/>
    <s v="$0.00"/>
    <s v="0.00%"/>
    <n v="-18.100637796463428"/>
    <n v="16193.85"/>
    <n v="2790.35"/>
    <n v="0"/>
    <n v="0"/>
    <n v="804"/>
    <n v="0.28813589693049257"/>
    <n v="815.77"/>
    <n v="0.29235400576988552"/>
    <n v="1170.58"/>
    <n v="0.41951009729962191"/>
    <n v="13403.5"/>
    <n v="0"/>
    <n v="0"/>
    <n v="1426.72"/>
    <n v="0.10644383929570635"/>
    <n v="1405.24"/>
    <n v="0.1048412728018801"/>
    <n v="10571.54"/>
    <n v="0.78871488790241362"/>
    <s v="0.00"/>
    <s v="0.00"/>
    <s v="0.00"/>
    <n v="-1.9506962935269627"/>
  </r>
  <r>
    <x v="2"/>
    <x v="0"/>
    <x v="7"/>
    <n v="0"/>
    <n v="0"/>
    <n v="0"/>
    <n v="0"/>
    <n v="0"/>
    <n v="0"/>
    <n v="0"/>
    <n v="0"/>
    <n v="0"/>
    <n v="0"/>
    <n v="0"/>
    <s v="$0.00"/>
    <s v="$0.00"/>
    <s v="$0.00"/>
    <s v="0.00%"/>
    <s v="0.00%"/>
    <n v="2730.67"/>
    <n v="0"/>
    <n v="0"/>
    <s v="0.00%"/>
    <n v="0"/>
    <s v="0.00%"/>
    <n v="0"/>
    <n v="0"/>
    <n v="0"/>
    <s v="0.00%"/>
    <n v="2730.67"/>
    <n v="0"/>
    <n v="0"/>
    <n v="0"/>
    <n v="0"/>
    <n v="0"/>
    <n v="0"/>
    <n v="2730.67"/>
    <n v="1"/>
    <s v="0.00"/>
    <s v="0.00"/>
    <s v="0.00"/>
    <s v="0.00%"/>
  </r>
  <r>
    <x v="2"/>
    <x v="0"/>
    <x v="8"/>
    <n v="280582.04000776599"/>
    <n v="11069"/>
    <n v="269513.04000776599"/>
    <n v="165233.21991109799"/>
    <n v="84925.789916992202"/>
    <n v="80307.429994106293"/>
    <n v="3963.35000491142"/>
    <n v="161269.86990618706"/>
    <n v="83715.050213154405"/>
    <n v="1138.75000095367"/>
    <n v="1451"/>
    <n v="193.37149552568297"/>
    <n v="134.89196402043964"/>
    <n v="113.87541000075706"/>
    <n v="0.58889449911521474"/>
    <n v="0.8616447989677567"/>
    <n v="436541.05"/>
    <n v="225134.84"/>
    <n v="4358.96"/>
    <n v="1.9361552392335189E-2"/>
    <n v="3090.14"/>
    <n v="1.3725729878147691E-2"/>
    <n v="3089.94"/>
    <n v="1.3724841521640987E-2"/>
    <n v="17433.2"/>
    <n v="7.7434483263452258E-2"/>
    <n v="211406.21"/>
    <n v="8214.5400000000009"/>
    <n v="3.8856663671327354E-2"/>
    <n v="5813.38"/>
    <n v="2.7498624567367253E-2"/>
    <n v="5945.7"/>
    <n v="2.8124528603015019E-2"/>
    <n v="160503.04000000001"/>
    <n v="0.75921629738312801"/>
    <n v="47.828944789061985"/>
    <n v="25.767298258995133"/>
    <n v="542.20623236727363"/>
    <n v="2.024924972037603E-2"/>
  </r>
  <r>
    <x v="2"/>
    <x v="0"/>
    <x v="9"/>
    <n v="0"/>
    <n v="0"/>
    <n v="0"/>
    <n v="0"/>
    <n v="0"/>
    <n v="0"/>
    <n v="0"/>
    <n v="0"/>
    <n v="0"/>
    <n v="0"/>
    <n v="0"/>
    <s v="$0.00"/>
    <s v="$0.00"/>
    <s v="$0.00"/>
    <s v="0.00%"/>
    <s v="0.00%"/>
    <n v="192.58"/>
    <n v="0"/>
    <n v="0"/>
    <s v="0.00%"/>
    <n v="0"/>
    <s v="0.00%"/>
    <n v="0"/>
    <n v="0"/>
    <n v="0"/>
    <s v="0.00%"/>
    <n v="192.58"/>
    <n v="0"/>
    <n v="0"/>
    <n v="0"/>
    <n v="0"/>
    <n v="0"/>
    <n v="0"/>
    <n v="192.58"/>
    <n v="1"/>
    <s v="0.00"/>
    <s v="0.00"/>
    <s v="0.00"/>
    <s v="0.00%"/>
  </r>
  <r>
    <x v="2"/>
    <x v="0"/>
    <x v="10"/>
    <n v="288296.63000326802"/>
    <n v="16049"/>
    <n v="272247.63000326802"/>
    <n v="163665.06981815401"/>
    <n v="86887.339827060699"/>
    <n v="76777.729991093307"/>
    <n v="3478.1600112914998"/>
    <n v="160186.9098068625"/>
    <n v="79749.560252843396"/>
    <n v="769.82999801635697"/>
    <n v="1546"/>
    <n v="186.47906209784477"/>
    <n v="134.39666219431322"/>
    <n v="105.86356391859897"/>
    <n v="0.56769678444142324"/>
    <n v="0.8011052718668471"/>
    <n v="491050.14"/>
    <n v="260880.27"/>
    <n v="5324.45"/>
    <n v="2.0409554160611687E-2"/>
    <n v="7696.33"/>
    <n v="2.9501387743887265E-2"/>
    <n v="8389.1299999999992"/>
    <n v="3.2157012103674991E-2"/>
    <n v="17204.73"/>
    <n v="6.5948758792682943E-2"/>
    <n v="230169.87"/>
    <n v="6567.24"/>
    <n v="2.8532144541768216E-2"/>
    <n v="7181.47"/>
    <n v="3.1200738828240204E-2"/>
    <n v="5958.97"/>
    <n v="2.5889444174426481E-2"/>
    <n v="182183.12"/>
    <n v="0.79151593560008526"/>
    <n v="54.643330473320525"/>
    <n v="30.518957044535192"/>
    <n v="525.11567593601865"/>
    <n v="1.6739850887595525E-2"/>
  </r>
  <r>
    <x v="2"/>
    <x v="0"/>
    <x v="11"/>
    <n v="0"/>
    <n v="0"/>
    <n v="0"/>
    <n v="30"/>
    <n v="0"/>
    <n v="30"/>
    <n v="0"/>
    <n v="30"/>
    <n v="0"/>
    <n v="0"/>
    <n v="0"/>
    <s v="$0.00"/>
    <s v="$0.00"/>
    <s v="$0.00"/>
    <s v="0.00%"/>
    <s v="0.00%"/>
    <n v="4525.88"/>
    <n v="157"/>
    <n v="0"/>
    <n v="0"/>
    <n v="0"/>
    <n v="0"/>
    <n v="0"/>
    <n v="0"/>
    <n v="157"/>
    <n v="1"/>
    <n v="4368.88"/>
    <n v="0"/>
    <n v="0"/>
    <n v="0"/>
    <n v="0"/>
    <n v="0"/>
    <n v="0"/>
    <n v="4368.88"/>
    <n v="1"/>
    <s v="0.00"/>
    <s v="0.00"/>
    <s v="0.00"/>
    <s v="0.00%"/>
  </r>
  <r>
    <x v="2"/>
    <x v="0"/>
    <x v="12"/>
    <n v="292505.18000668997"/>
    <n v="20550.009999999798"/>
    <n v="271955.17000669101"/>
    <n v="176207.27981119"/>
    <n v="83002.089822232694"/>
    <n v="93205.189988957703"/>
    <n v="3510.9200050234799"/>
    <n v="172696.3598061669"/>
    <n v="82534.410302318603"/>
    <n v="2501.2100124359099"/>
    <n v="1607"/>
    <n v="182.01940261772918"/>
    <n v="129.10364635465854"/>
    <n v="109.64983186757335"/>
    <n v="0.60240738234844182"/>
    <n v="0.86393633572805639"/>
    <n v="523769.92000000004"/>
    <n v="248023.91"/>
    <n v="6686.19"/>
    <n v="2.6957844507813782E-2"/>
    <n v="5348.19"/>
    <n v="2.156320332180877E-2"/>
    <n v="6304.39"/>
    <n v="2.5418476791209364E-2"/>
    <n v="30229.99"/>
    <n v="0.12188337003476803"/>
    <n v="275746.01"/>
    <n v="11594.88"/>
    <n v="4.2049130647438919E-2"/>
    <n v="7424.23"/>
    <n v="2.6924161114788205E-2"/>
    <n v="8559.4699999999993"/>
    <n v="3.1041138183649508E-2"/>
    <n v="214472.75"/>
    <n v="0.77779094609564792"/>
    <n v="57.594113846549391"/>
    <n v="29.29335030356043"/>
    <n v="439.60704486793691"/>
    <n v="1.6922578956820106E-2"/>
  </r>
  <r>
    <x v="2"/>
    <x v="0"/>
    <x v="13"/>
    <n v="191717.54000375199"/>
    <n v="10002"/>
    <n v="181715.54000375199"/>
    <n v="113117.46975138799"/>
    <n v="58171.449785739198"/>
    <n v="54946.019965648702"/>
    <n v="1809.2800075002001"/>
    <n v="111308.18974388769"/>
    <n v="54241.630153655999"/>
    <n v="2204.74000549316"/>
    <n v="1000"/>
    <n v="191.71754000375199"/>
    <n v="135.27116984460281"/>
    <n v="113.11746975138789"/>
    <n v="0.59002149594228126"/>
    <n v="0.84756382432058941"/>
    <n v="242837.74"/>
    <n v="153897.87"/>
    <n v="3436.49"/>
    <n v="2.2329678766834133E-2"/>
    <n v="4119.3500000000004"/>
    <n v="2.6766777214005628E-2"/>
    <n v="3350.07"/>
    <n v="2.1768137531728023E-2"/>
    <n v="11868.06"/>
    <n v="7.7116466914064499E-2"/>
    <n v="88939.87"/>
    <n v="5648.7"/>
    <n v="6.351144880243248E-2"/>
    <n v="5801.47"/>
    <n v="6.5229126150060712E-2"/>
    <n v="6171.78"/>
    <n v="6.9392725669601266E-2"/>
    <n v="54232.81"/>
    <n v="0.60976938689026638"/>
    <n v="42.536517341011752"/>
    <n v="28.401826715073703"/>
    <n v="306.33709529276695"/>
    <n v="1.3375207810937612E-2"/>
  </r>
  <r>
    <x v="2"/>
    <x v="0"/>
    <x v="14"/>
    <n v="0"/>
    <n v="0"/>
    <n v="0"/>
    <n v="2609.3300037384001"/>
    <n v="1457.60000038147"/>
    <n v="1151.73000335693"/>
    <n v="62.630001068115199"/>
    <n v="2546.7000026702844"/>
    <n v="366.150005340576"/>
    <n v="0"/>
    <n v="6"/>
    <n v="0"/>
    <n v="-61.025000890096003"/>
    <n v="434.88833395639995"/>
    <s v="0.00%"/>
    <n v="-6.0854749865629687"/>
    <n v="24842.460000000003"/>
    <n v="3379.13"/>
    <n v="0"/>
    <n v="0"/>
    <n v="837.04"/>
    <n v="0.24770872976180258"/>
    <n v="643.41"/>
    <n v="0.19040699825102911"/>
    <n v="1898.68"/>
    <n v="0.56188427198716828"/>
    <n v="21463.33"/>
    <n v="0"/>
    <n v="0"/>
    <n v="2116.59"/>
    <n v="9.8614241126609894E-2"/>
    <n v="2416.9299999999998"/>
    <n v="0.11260740994058237"/>
    <n v="16929.810000000001"/>
    <n v="0.78877834893280774"/>
    <s v="0.00"/>
    <s v="0.00"/>
    <s v="0.00"/>
    <n v="-0.17105011649490387"/>
  </r>
  <r>
    <x v="2"/>
    <x v="0"/>
    <x v="15"/>
    <n v="0"/>
    <n v="0"/>
    <n v="0"/>
    <n v="0"/>
    <n v="0"/>
    <n v="0"/>
    <n v="0"/>
    <n v="0"/>
    <n v="0"/>
    <n v="0"/>
    <n v="0"/>
    <s v="$0.00"/>
    <s v="$0.00"/>
    <s v="$0.00"/>
    <s v="0.00%"/>
    <s v="0.00%"/>
    <n v="538.66"/>
    <n v="0"/>
    <n v="0"/>
    <s v="0.00%"/>
    <n v="0"/>
    <s v="0.00%"/>
    <n v="0"/>
    <n v="0"/>
    <n v="0"/>
    <s v="0.00%"/>
    <n v="538.66"/>
    <n v="0"/>
    <n v="0"/>
    <n v="0"/>
    <n v="0"/>
    <n v="0"/>
    <n v="0"/>
    <n v="538.66"/>
    <n v="1"/>
    <s v="0.00"/>
    <s v="0.00"/>
    <s v="0.00"/>
    <s v="0.00%"/>
  </r>
  <r>
    <x v="2"/>
    <x v="0"/>
    <x v="16"/>
    <n v="173658.78000055099"/>
    <n v="9523"/>
    <n v="164135.78000055099"/>
    <n v="112573.499837041"/>
    <n v="49552.999846696897"/>
    <n v="63020.499990343997"/>
    <n v="2359.0999942794401"/>
    <n v="110214.39984276146"/>
    <n v="45819.380048036597"/>
    <n v="1293"/>
    <n v="915"/>
    <n v="189.79101639404479"/>
    <n v="138.30207645083539"/>
    <n v="123.03114736288623"/>
    <n v="0.64824536851337844"/>
    <n v="0.90648157963737153"/>
    <n v="274755.15999999997"/>
    <n v="132648.35999999999"/>
    <n v="3996.51"/>
    <n v="3.0128604680826815E-2"/>
    <n v="2219.48"/>
    <n v="1.6732057599505943E-2"/>
    <n v="4511.88"/>
    <n v="3.4013839296618525E-2"/>
    <n v="14595.88"/>
    <n v="0.11003437961841368"/>
    <n v="142106.79999999999"/>
    <n v="2552.7399999999998"/>
    <n v="1.7963531653657671E-2"/>
    <n v="2877.65"/>
    <n v="2.0249910630596144E-2"/>
    <n v="4644.87"/>
    <n v="3.2685768731686313E-2"/>
    <n v="118871.96"/>
    <n v="0.83649733862137499"/>
    <n v="53.530108575494459"/>
    <n v="27.483978646379679"/>
    <n v="463.89597388465722"/>
    <n v="1.8642173899571027E-2"/>
  </r>
  <r>
    <x v="2"/>
    <x v="1"/>
    <x v="17"/>
    <n v="565151.54054832098"/>
    <n v="12869"/>
    <n v="552282.54054832098"/>
    <n v="333569.44062000921"/>
    <n v="200766.36057877948"/>
    <n v="132803.0800412297"/>
    <n v="7123.3500047922143"/>
    <n v="326446.09061521699"/>
    <n v="127601.18923318011"/>
    <n v="15759.050017699599"/>
    <n v="2921"/>
    <n v="193.4787882739887"/>
    <n v="144.39962386081521"/>
    <n v="114.19700123930475"/>
    <n v="0.59023008288427148"/>
    <n v="0.80442541937511558"/>
    <n v="705912.97"/>
    <n v="632791.89"/>
    <n v="27580.32"/>
    <n v="4.3585135074977022E-2"/>
    <n v="14075.99"/>
    <n v="2.2244264224056346E-2"/>
    <n v="7382.26"/>
    <n v="1.1666173534556519E-2"/>
    <n v="5591.98"/>
    <n v="8.8369969469741464E-3"/>
    <n v="73121.08"/>
    <n v="10949.1"/>
    <n v="0.14973930910210845"/>
    <n v="8474.4"/>
    <n v="0.11589544355745292"/>
    <n v="8541.08"/>
    <n v="0.11680735569004178"/>
    <n v="5808.88"/>
    <n v="7.9441933844521986E-2"/>
    <n v="44.645821984774003"/>
    <n v="41.123508822798499"/>
    <n v="172.53445565825621"/>
    <n v="1.6888328381549359E-2"/>
  </r>
  <r>
    <x v="2"/>
    <x v="2"/>
    <x v="18"/>
    <n v="0"/>
    <n v="0"/>
    <n v="0"/>
    <n v="75"/>
    <n v="0"/>
    <n v="75"/>
    <n v="0"/>
    <n v="75"/>
    <n v="0"/>
    <n v="0"/>
    <n v="0"/>
    <s v="$0.00"/>
    <s v="$0.00"/>
    <s v="$0.00"/>
    <s v="0.00%"/>
    <s v="0.00%"/>
    <n v="1834.68"/>
    <n v="-125.21"/>
    <n v="0"/>
    <n v="0"/>
    <n v="0"/>
    <n v="0"/>
    <n v="0"/>
    <n v="0"/>
    <n v="-125.21"/>
    <n v="0"/>
    <n v="1959.89"/>
    <n v="0"/>
    <n v="0"/>
    <n v="0"/>
    <n v="0"/>
    <n v="0"/>
    <n v="0"/>
    <n v="1959.89"/>
    <n v="1"/>
    <s v="0.00"/>
    <s v="0.00"/>
    <s v="0.00"/>
    <s v="0.00%"/>
  </r>
  <r>
    <x v="2"/>
    <x v="2"/>
    <x v="19"/>
    <n v="109577.169999996"/>
    <n v="7597"/>
    <n v="101980.169999996"/>
    <n v="71527.2402026653"/>
    <n v="34122.490176200903"/>
    <n v="37404.750026464499"/>
    <n v="2016.3700094223"/>
    <n v="69510.870193243099"/>
    <n v="34583.569716453603"/>
    <n v="1026.5500030517601"/>
    <n v="909"/>
    <n v="120.54694169416501"/>
    <n v="81.371892497789474"/>
    <n v="78.687833006232566"/>
    <n v="0.65275677591115022"/>
    <n v="0.99411485663780175"/>
    <n v="165869.45000000001"/>
    <n v="83146.720000000001"/>
    <n v="3287.68"/>
    <n v="3.9540705875108481E-2"/>
    <n v="2841"/>
    <n v="3.4168515607109935E-2"/>
    <n v="1973"/>
    <n v="2.3729138082656778E-2"/>
    <n v="6155.12"/>
    <n v="7.4027213581004753E-2"/>
    <n v="82722.73"/>
    <n v="3409.06"/>
    <n v="4.1210680546930695E-2"/>
    <n v="2244.94"/>
    <n v="2.7138127573884473E-2"/>
    <n v="2155.8200000000002"/>
    <n v="2.6060793689956802E-2"/>
    <n v="59916.37"/>
    <n v="0.72430358620901425"/>
    <n v="44.934304999374817"/>
    <n v="24.020051877184155"/>
    <n v="359.94225971765616"/>
    <n v="2.7260381504683753E-2"/>
  </r>
  <r>
    <x v="2"/>
    <x v="2"/>
    <x v="20"/>
    <n v="0"/>
    <n v="0"/>
    <n v="0"/>
    <n v="521.91000556945801"/>
    <n v="314.22000122070301"/>
    <n v="207.690004348755"/>
    <n v="0"/>
    <n v="521.91000556945801"/>
    <n v="185.77999877929699"/>
    <n v="7"/>
    <n v="0"/>
    <s v="$0.00"/>
    <s v="$0.00"/>
    <s v="$0.00"/>
    <s v="0.00%"/>
    <n v="-2.7072829591982908"/>
    <n v="6683.6100000000006"/>
    <n v="424.01"/>
    <n v="0"/>
    <n v="0"/>
    <n v="348.42"/>
    <n v="0.82172590269097434"/>
    <n v="0"/>
    <n v="0"/>
    <n v="75.59"/>
    <n v="0.17827409730902574"/>
    <n v="6259.6"/>
    <n v="0"/>
    <n v="0"/>
    <n v="15.55"/>
    <n v="2.4841842929260657E-3"/>
    <n v="5"/>
    <n v="7.9877308454214327E-4"/>
    <n v="6239.05"/>
    <n v="0.9967170426225318"/>
    <s v="0.00"/>
    <s v="0.00"/>
    <s v="0.00"/>
    <n v="0"/>
  </r>
  <r>
    <x v="2"/>
    <x v="2"/>
    <x v="21"/>
    <n v="223545.219999995"/>
    <n v="15242"/>
    <n v="208303.219999995"/>
    <n v="143916.27075492599"/>
    <n v="63318.680650822796"/>
    <n v="80597.590104103103"/>
    <n v="4839.8299948573103"/>
    <n v="139076.4407600686"/>
    <n v="72921.079180717497"/>
    <n v="2863.9400024414099"/>
    <n v="1188"/>
    <n v="188.1693771043729"/>
    <n v="124.37727341484519"/>
    <n v="121.14164204960093"/>
    <n v="0.64379041857808061"/>
    <n v="1.0069682154280695"/>
    <n v="257262.59"/>
    <n v="133141.4"/>
    <n v="3816.5"/>
    <n v="2.8665013286626101E-2"/>
    <n v="1524.04"/>
    <n v="1.1446777636407609E-2"/>
    <n v="404.96"/>
    <n v="3.0415783520377584E-3"/>
    <n v="10236.66"/>
    <n v="7.6885626859864775E-2"/>
    <n v="124121.19"/>
    <n v="5950.3"/>
    <n v="4.7939437254831345E-2"/>
    <n v="4142.45"/>
    <n v="3.3374236905076397E-2"/>
    <n v="4423.58"/>
    <n v="3.5639200687650509E-2"/>
    <n v="85790.26"/>
    <n v="0.69118141712950054"/>
    <n v="37.275032942172764"/>
    <n v="20.485091844220467"/>
    <n v="308.52041261599646"/>
    <n v="3.2754625183927404E-2"/>
  </r>
  <r>
    <x v="2"/>
    <x v="2"/>
    <x v="22"/>
    <n v="0"/>
    <n v="0"/>
    <n v="0"/>
    <n v="374.15000915527298"/>
    <n v="0"/>
    <n v="374.15000915527298"/>
    <n v="0"/>
    <n v="374.15000915527298"/>
    <n v="0"/>
    <n v="0"/>
    <n v="0"/>
    <s v="$0.00"/>
    <s v="$0.00"/>
    <s v="$0.00"/>
    <s v="0.00%"/>
    <s v="0.00%"/>
    <n v="13212.07"/>
    <n v="1737.11"/>
    <n v="0"/>
    <n v="0"/>
    <n v="0"/>
    <n v="0"/>
    <n v="0"/>
    <n v="0"/>
    <n v="1737.11"/>
    <n v="1"/>
    <n v="11474.96"/>
    <n v="0"/>
    <n v="0"/>
    <n v="0"/>
    <n v="0"/>
    <n v="555.24"/>
    <n v="4.8387096774193554E-2"/>
    <n v="10919.72"/>
    <n v="0.95161290322580649"/>
    <s v="0.00"/>
    <s v="0.00"/>
    <s v="0.00"/>
    <s v="0.00%"/>
  </r>
  <r>
    <x v="2"/>
    <x v="2"/>
    <x v="23"/>
    <n v="139420.149999997"/>
    <n v="8063"/>
    <n v="131357.149999997"/>
    <n v="86676.460347354398"/>
    <n v="40100.830282747702"/>
    <n v="46575.630064606703"/>
    <n v="3153.2899977713801"/>
    <n v="83523.17034958303"/>
    <n v="47913.769474983201"/>
    <n v="1637.0900020599399"/>
    <n v="754"/>
    <n v="184.9073607427016"/>
    <n v="119.19004048137117"/>
    <n v="114.95551770206156"/>
    <n v="0.62169249098753865"/>
    <n v="0.9995440267356821"/>
    <n v="178895.09"/>
    <n v="94912.76"/>
    <n v="3348.24"/>
    <n v="3.5277027029874591E-2"/>
    <n v="2498.9699999999998"/>
    <n v="2.6329125820384949E-2"/>
    <n v="1950.85"/>
    <n v="2.0554138347678438E-2"/>
    <n v="6618.57"/>
    <n v="6.9733194988745459E-2"/>
    <n v="83982.33"/>
    <n v="4733.8100000000004"/>
    <n v="5.6366738098359501E-2"/>
    <n v="1826.43"/>
    <n v="2.1747789088490399E-2"/>
    <n v="1987.7"/>
    <n v="2.3668073986515974E-2"/>
    <n v="59170.68"/>
    <n v="0.70456106659579465"/>
    <n v="40.184978522164023"/>
    <n v="22.349118403842073"/>
    <n v="409.73652626443322"/>
    <n v="3.5087514093215033E-2"/>
  </r>
  <r>
    <x v="2"/>
    <x v="2"/>
    <x v="24"/>
    <n v="93352.509999999806"/>
    <n v="8316"/>
    <n v="85036.509999999806"/>
    <n v="55349.210260868102"/>
    <n v="22784.780213832899"/>
    <n v="32564.430047035199"/>
    <n v="1498.7199940681501"/>
    <n v="53850.490266799949"/>
    <n v="27829.419734954801"/>
    <n v="1195.1799926757801"/>
    <n v="516"/>
    <n v="180.91571705426318"/>
    <n v="124.66649277590933"/>
    <n v="107.26591135827151"/>
    <n v="0.59290543190395439"/>
    <n v="0.880947375188181"/>
    <n v="89317.459999999992"/>
    <n v="56240.02"/>
    <n v="1618"/>
    <n v="2.8769548801725178E-2"/>
    <n v="553"/>
    <n v="9.8328556782163318E-3"/>
    <n v="-115.19"/>
    <n v="0"/>
    <n v="3249.88"/>
    <n v="5.7785896946693838E-2"/>
    <n v="33077.440000000002"/>
    <n v="1301.25"/>
    <n v="3.9339501485000046E-2"/>
    <n v="1833.35"/>
    <n v="5.5425994272833685E-2"/>
    <n v="1943.29"/>
    <n v="5.8749709771977514E-2"/>
    <n v="18081.150000000001"/>
    <n v="0.54663087590817183"/>
    <n v="32.254862712981648"/>
    <n v="21.965568800935465"/>
    <n v="158.45901953478469"/>
    <n v="2.3298129656667794E-2"/>
  </r>
  <r>
    <x v="2"/>
    <x v="2"/>
    <x v="25"/>
    <n v="72286.069999998406"/>
    <n v="5775"/>
    <n v="66511.069999998406"/>
    <n v="41873.150196552298"/>
    <n v="19932.1601843834"/>
    <n v="21940.990012168899"/>
    <n v="1008.57999897003"/>
    <n v="40864.570197582267"/>
    <n v="21329.499773025502"/>
    <n v="1221"/>
    <n v="430"/>
    <n v="168.10713953488002"/>
    <n v="115.66411680691374"/>
    <n v="97.37941906174953"/>
    <n v="0.57926997824827409"/>
    <n v="0.85934201970242463"/>
    <n v="49212.99"/>
    <n v="44316.18"/>
    <n v="364"/>
    <n v="8.2137043400401389E-3"/>
    <n v="0"/>
    <n v="0"/>
    <n v="0"/>
    <n v="0"/>
    <n v="0"/>
    <n v="0"/>
    <n v="4896.8100000000004"/>
    <n v="385.4"/>
    <n v="7.8704299329563521E-2"/>
    <n v="0"/>
    <n v="0"/>
    <n v="0"/>
    <n v="0"/>
    <n v="0"/>
    <n v="0"/>
    <n v="23.790462317137376"/>
    <n v="23.231224133246702"/>
    <n v="30.417068120643247"/>
    <n v="2.0278846595450324E-2"/>
  </r>
  <r>
    <x v="2"/>
    <x v="2"/>
    <x v="26"/>
    <n v="87950.539999999106"/>
    <n v="6095"/>
    <n v="81855.539999999106"/>
    <n v="56311.820248603799"/>
    <n v="25362.910181045499"/>
    <n v="30948.910067558299"/>
    <n v="1429.32999181747"/>
    <n v="54882.490256786332"/>
    <n v="28868.5997247696"/>
    <n v="880"/>
    <n v="514"/>
    <n v="171.10999999999825"/>
    <n v="113.23334683896792"/>
    <n v="109.55607052257548"/>
    <n v="0.64026690738458647"/>
    <n v="0.99188358554401579"/>
    <n v="74958.25"/>
    <n v="56711.03"/>
    <n v="1654.1"/>
    <n v="2.9167165540812782E-2"/>
    <n v="898.3"/>
    <n v="1.5839952122188576E-2"/>
    <n v="44.57"/>
    <n v="7.8591413345869404E-4"/>
    <n v="2208.25"/>
    <n v="3.8938633278217658E-2"/>
    <n v="18247.22"/>
    <n v="1037.8499999999999"/>
    <n v="5.6877157177915312E-2"/>
    <n v="1152.8499999999999"/>
    <n v="6.3179487067071036E-2"/>
    <n v="868.17"/>
    <n v="4.7578206433637554E-2"/>
    <n v="5030.32"/>
    <n v="0.27567596598276339"/>
    <n v="25.181517087392542"/>
    <n v="20.10233180682183"/>
    <n v="117.27005141388175"/>
    <n v="2.4558115847312854E-2"/>
  </r>
  <r>
    <x v="2"/>
    <x v="2"/>
    <x v="27"/>
    <n v="112179.5"/>
    <n v="7486"/>
    <n v="104693.5"/>
    <n v="67764.530340194702"/>
    <n v="31202.720286369298"/>
    <n v="36561.8100538254"/>
    <n v="1787.4600026011501"/>
    <n v="65977.070337593555"/>
    <n v="34380.419621944398"/>
    <n v="958.93999958038296"/>
    <n v="733"/>
    <n v="153.04160982264665"/>
    <n v="104.82965945221721"/>
    <n v="92.448199645558944"/>
    <n v="0.60407231571004238"/>
    <n v="0.90289287472240409"/>
    <n v="106016.99"/>
    <n v="75421.25"/>
    <n v="2029.5"/>
    <n v="2.6908861892371183E-2"/>
    <n v="284.83999999999997"/>
    <n v="3.7766544574639109E-3"/>
    <n v="1300.7"/>
    <n v="1.7245802741269869E-2"/>
    <n v="4018.78"/>
    <n v="5.3284452326101732E-2"/>
    <n v="30595.74"/>
    <n v="1818.35"/>
    <n v="5.943147640815355E-2"/>
    <n v="1504.14"/>
    <n v="4.9161746046998703E-2"/>
    <n v="2614.4"/>
    <n v="8.5449804449900538E-2"/>
    <n v="15860.32"/>
    <n v="0.51838327819493824"/>
    <n v="31.119926466968941"/>
    <n v="23.473686671268222"/>
    <n v="157.94519903636572"/>
    <n v="2.3262060607867667E-2"/>
  </r>
  <r>
    <x v="2"/>
    <x v="3"/>
    <x v="28"/>
    <n v="113312.729999958"/>
    <n v="4969"/>
    <n v="108343.729999958"/>
    <n v="69632.939859822407"/>
    <n v="31378.289883375201"/>
    <n v="38254.649976447203"/>
    <n v="1232.11000442505"/>
    <n v="68400.829855397358"/>
    <n v="32355.770187974002"/>
    <n v="625.73999786376999"/>
    <n v="585"/>
    <n v="193.69697435890257"/>
    <n v="137.31832446858158"/>
    <n v="119.03066642704685"/>
    <n v="0.61452000900382697"/>
    <n v="0.88032520248777191"/>
    <n v="103254.62"/>
    <n v="77674.2"/>
    <n v="2417.75"/>
    <n v="3.1126809159283265E-2"/>
    <n v="709.44"/>
    <n v="9.1335346871934328E-3"/>
    <n v="660.54"/>
    <n v="8.5039820171948985E-3"/>
    <n v="2217.35"/>
    <n v="2.8546801898184981E-2"/>
    <n v="25580.42"/>
    <n v="2706.3"/>
    <n v="0.10579576097655943"/>
    <n v="2630.7"/>
    <n v="0.10284037556850122"/>
    <n v="1405.35"/>
    <n v="5.4938503746224651E-2"/>
    <n v="9580.8700000000008"/>
    <n v="0.37453919833998039"/>
    <n v="29.866773634792168"/>
    <n v="23.714044904134564"/>
    <n v="140.76660348517271"/>
    <n v="1.5337872464479567E-2"/>
  </r>
  <r>
    <x v="2"/>
    <x v="3"/>
    <x v="29"/>
    <n v="172845.53000465001"/>
    <n v="9946"/>
    <n v="162899.53000465001"/>
    <n v="116534.47977722999"/>
    <n v="49584.089806942298"/>
    <n v="66950.389970287695"/>
    <n v="2724.4200063943899"/>
    <n v="113810.05977083561"/>
    <n v="51949.380221100502"/>
    <n v="1377.3300075530999"/>
    <n v="883"/>
    <n v="195.74805210039639"/>
    <n v="135.3554017848204"/>
    <n v="131.97562828678369"/>
    <n v="0.67421170668454611"/>
    <n v="0.99777455089555001"/>
    <n v="183518.43"/>
    <n v="110488.98"/>
    <n v="2997.31"/>
    <n v="2.7127682778861746E-2"/>
    <n v="416.57"/>
    <n v="3.7702402538244088E-3"/>
    <n v="498.24"/>
    <n v="4.5094089926434296E-3"/>
    <n v="5306.47"/>
    <n v="4.8027142616394868E-2"/>
    <n v="73029.45"/>
    <n v="4474.47"/>
    <n v="6.1269392005553931E-2"/>
    <n v="5950.99"/>
    <n v="8.1487536877246095E-2"/>
    <n v="4065.25"/>
    <n v="5.566589916807535E-2"/>
    <n v="42093.59"/>
    <n v="0.57639198980685191"/>
    <n v="31.698325920436844"/>
    <n v="20.168775434878345"/>
    <n v="234.58671211364123"/>
    <n v="2.2794903861170401E-2"/>
  </r>
  <r>
    <x v="2"/>
    <x v="3"/>
    <x v="30"/>
    <n v="161113.72000306699"/>
    <n v="6757"/>
    <n v="154356.72000306699"/>
    <n v="90888.809835746899"/>
    <n v="43576.2398184091"/>
    <n v="47312.570017337799"/>
    <n v="2456.8400094509102"/>
    <n v="88431.969826295986"/>
    <n v="46866.5402975529"/>
    <n v="978.16999626159702"/>
    <n v="756"/>
    <n v="213.11338624744312"/>
    <n v="149.82673241964616"/>
    <n v="120.22329343352764"/>
    <n v="0.56412830536106251"/>
    <n v="0.82020603045650542"/>
    <n v="134405.96"/>
    <n v="106978.02"/>
    <n v="2698.59"/>
    <n v="2.5225649156714623E-2"/>
    <n v="2656.41"/>
    <n v="2.4831362554663096E-2"/>
    <n v="571.34"/>
    <n v="5.3407232625916987E-3"/>
    <n v="931"/>
    <n v="8.7027222975336431E-3"/>
    <n v="27427.94"/>
    <n v="2399.7800000000002"/>
    <n v="8.7493993351305283E-2"/>
    <n v="2995.79"/>
    <n v="0.10922402484473862"/>
    <n v="3200.64"/>
    <n v="0.11669268636288398"/>
    <n v="4036.4"/>
    <n v="0.14716380450008276"/>
    <n v="27.416946552395256"/>
    <n v="22.80616262413043"/>
    <n v="129.65568569777824"/>
    <n v="2.1690310666238839E-2"/>
  </r>
  <r>
    <x v="2"/>
    <x v="3"/>
    <x v="31"/>
    <n v="196770.18000274"/>
    <n v="10231"/>
    <n v="186539.18000274"/>
    <n v="126073.589877024"/>
    <n v="61162.659904852502"/>
    <n v="64910.929972171798"/>
    <n v="2552.1799986362498"/>
    <n v="123521.40987838805"/>
    <n v="52975.380256330602"/>
    <n v="1135"/>
    <n v="1318"/>
    <n v="149.29452200511381"/>
    <n v="108.23960527041685"/>
    <n v="95.655227524297644"/>
    <n v="0.64071491866942809"/>
    <n v="0.89983392840436915"/>
    <n v="206514.15000000002"/>
    <n v="158849.35"/>
    <n v="2824.73"/>
    <n v="1.7782446072332054E-2"/>
    <n v="12200.59"/>
    <n v="7.6806042958312393E-2"/>
    <n v="9500.51"/>
    <n v="5.9808302646501228E-2"/>
    <n v="4149.18"/>
    <n v="2.6120220196053683E-2"/>
    <n v="47664.800000000003"/>
    <n v="5417.81"/>
    <n v="0.11366480085933435"/>
    <n v="5657.67"/>
    <n v="0.11869702589751766"/>
    <n v="4694.95"/>
    <n v="9.8499311861163785E-2"/>
    <n v="12862.66"/>
    <n v="0.26985658179621019"/>
    <n v="32.574030123946649"/>
    <n v="26.477900830929098"/>
    <n v="139.97559304336477"/>
    <n v="1.7889973231232474E-2"/>
  </r>
  <r>
    <x v="2"/>
    <x v="3"/>
    <x v="32"/>
    <n v="1051"/>
    <n v="0"/>
    <n v="1051"/>
    <n v="565"/>
    <n v="0"/>
    <n v="565"/>
    <n v="0"/>
    <n v="565"/>
    <n v="0"/>
    <n v="0"/>
    <n v="6"/>
    <n v="175.16666666666666"/>
    <n v="175.16666666666666"/>
    <n v="94.166666666666671"/>
    <n v="0.53758325404376783"/>
    <n v="0.53758325404376783"/>
    <n v="486"/>
    <n v="701"/>
    <n v="0"/>
    <n v="0"/>
    <n v="0"/>
    <n v="0"/>
    <n v="0"/>
    <n v="0"/>
    <n v="0"/>
    <n v="0"/>
    <n v="-215"/>
    <n v="0"/>
    <n v="0"/>
    <n v="0"/>
    <n v="0"/>
    <n v="0"/>
    <n v="0"/>
    <n v="0"/>
    <n v="0"/>
    <n v="13.872502378686965"/>
    <n v="20.009514747859182"/>
    <s v="0.00"/>
    <n v="0"/>
  </r>
  <r>
    <x v="2"/>
    <x v="3"/>
    <x v="33"/>
    <n v="97502.370001904696"/>
    <n v="6481"/>
    <n v="91021.370001904696"/>
    <n v="60917.6299555078"/>
    <n v="26639.3099624887"/>
    <n v="34278.319993019097"/>
    <n v="1561.0799999237099"/>
    <n v="59356.549955584087"/>
    <n v="28511.820074768701"/>
    <n v="506.950000762939"/>
    <n v="472"/>
    <n v="206.57281780064554"/>
    <n v="145.09237272536663"/>
    <n v="129.06277532946567"/>
    <n v="0.62478101767493222"/>
    <n v="0.91027101224608442"/>
    <n v="78403.360000000001"/>
    <n v="65398.01"/>
    <n v="2400.09"/>
    <n v="3.6699740557854896E-2"/>
    <n v="633"/>
    <n v="9.6791936023741393E-3"/>
    <n v="-146.19999999999999"/>
    <n v="0"/>
    <n v="0"/>
    <n v="0"/>
    <n v="13005.35"/>
    <n v="2254.12"/>
    <n v="0.17332251727173817"/>
    <n v="1841.92"/>
    <n v="0.14162786853102763"/>
    <n v="1343.15"/>
    <n v="0.10327672842330272"/>
    <n v="490.96"/>
    <n v="3.7750618014893871E-2"/>
    <n v="23.651078683811416"/>
    <n v="20.938372503062123"/>
    <n v="69.625929450954729"/>
    <n v="2.2794946550736706E-2"/>
  </r>
  <r>
    <x v="2"/>
    <x v="3"/>
    <x v="34"/>
    <n v="66191.730000799507"/>
    <n v="2368"/>
    <n v="63823.7300007995"/>
    <n v="35953.9498660229"/>
    <n v="20252.2298762463"/>
    <n v="15701.7199897766"/>
    <n v="822.07999801635697"/>
    <n v="35131.869868006543"/>
    <n v="18433.880061192402"/>
    <n v="340"/>
    <n v="372"/>
    <n v="177.9347580666653"/>
    <n v="127.4673385473309"/>
    <n v="96.650402865652964"/>
    <n v="0.54317888149454063"/>
    <n v="0.77161403086787295"/>
    <n v="45922.130000000005"/>
    <n v="41877.15"/>
    <n v="1256.52"/>
    <n v="3.0004907210734254E-2"/>
    <n v="0"/>
    <n v="0"/>
    <n v="0"/>
    <n v="0"/>
    <n v="0"/>
    <n v="0"/>
    <n v="4044.98"/>
    <n v="1357.77"/>
    <n v="0.33566791430365539"/>
    <n v="269.61"/>
    <n v="6.6652987159392635E-2"/>
    <n v="0"/>
    <n v="0"/>
    <n v="0"/>
    <n v="0"/>
    <n v="25.831028608746827"/>
    <n v="24.443652126922313"/>
    <n v="62.637336545079151"/>
    <n v="1.7336931114830902E-2"/>
  </r>
  <r>
    <x v="2"/>
    <x v="3"/>
    <x v="35"/>
    <n v="45360.900001773603"/>
    <n v="4321"/>
    <n v="41039.900001773603"/>
    <n v="17479.7899847031"/>
    <n v="2941.58998584747"/>
    <n v="14538.1999988556"/>
    <n v="0"/>
    <n v="17479.789984703071"/>
    <n v="4201.3000411987296"/>
    <n v="81"/>
    <n v="263"/>
    <n v="172.47490494970953"/>
    <n v="156.19239528735693"/>
    <n v="66.463079789745521"/>
    <n v="0.38534927622731502"/>
    <n v="0.42552058739780019"/>
    <n v="23318.81"/>
    <n v="22748.38"/>
    <n v="0"/>
    <n v="0"/>
    <n v="0"/>
    <n v="0"/>
    <n v="0"/>
    <n v="0"/>
    <n v="0"/>
    <n v="0"/>
    <n v="570.42999999999995"/>
    <n v="0"/>
    <n v="0"/>
    <n v="0"/>
    <n v="0"/>
    <n v="0"/>
    <n v="0"/>
    <n v="0"/>
    <n v="0"/>
    <n v="30.844374779717654"/>
    <n v="33.257946533520148"/>
    <n v="7.9208053691275166"/>
    <n v="0"/>
  </r>
  <r>
    <x v="2"/>
    <x v="3"/>
    <x v="36"/>
    <n v="0"/>
    <n v="0"/>
    <n v="0"/>
    <n v="0"/>
    <n v="0"/>
    <n v="0"/>
    <n v="0"/>
    <n v="0"/>
    <n v="0"/>
    <n v="0"/>
    <n v="0"/>
    <s v="$0.00"/>
    <s v="$0.00"/>
    <s v="$0.00"/>
    <s v="0.00%"/>
    <s v="0.00%"/>
    <n v="0"/>
    <n v="0"/>
    <n v="0"/>
    <s v="0.00%"/>
    <n v="0"/>
    <s v="0.00%"/>
    <n v="0"/>
    <n v="0"/>
    <n v="0"/>
    <s v="0.00%"/>
    <n v="0"/>
    <n v="0"/>
    <s v="0.00%"/>
    <n v="0"/>
    <s v="0.00%"/>
    <n v="0"/>
    <n v="0"/>
    <n v="0"/>
    <s v="0.00%"/>
    <s v="0.00"/>
    <s v="0.00"/>
    <s v="0.00"/>
    <s v="0.00%"/>
  </r>
  <r>
    <x v="2"/>
    <x v="4"/>
    <x v="37"/>
    <n v="55827.120002994299"/>
    <n v="4654"/>
    <n v="51173.120002994299"/>
    <n v="27227.389986038201"/>
    <n v="10686.8299856186"/>
    <n v="16540.560000419599"/>
    <n v="369.10000038147001"/>
    <n v="26858.289985656731"/>
    <n v="14234.1100497432"/>
    <n v="375.68000030517601"/>
    <n v="269"/>
    <n v="207.5357620929156"/>
    <n v="153.2242749180146"/>
    <n v="101.21706314512342"/>
    <n v="0.48770901999920208"/>
    <n v="0.66655005657910671"/>
    <n v="36134.019999999997"/>
    <n v="33442.75"/>
    <n v="0"/>
    <n v="0"/>
    <n v="0"/>
    <n v="0"/>
    <n v="0"/>
    <n v="0"/>
    <n v="0"/>
    <n v="0"/>
    <n v="2691.27"/>
    <n v="0"/>
    <n v="0"/>
    <n v="0"/>
    <n v="0"/>
    <n v="0"/>
    <n v="0"/>
    <n v="0"/>
    <n v="0"/>
    <n v="30.44095582290467"/>
    <n v="31.074914055639297"/>
    <n v="24.284569881692398"/>
    <n v="8.9549711444879589E-3"/>
  </r>
  <r>
    <x v="2"/>
    <x v="4"/>
    <x v="38"/>
    <n v="170594.55000487299"/>
    <n v="9393"/>
    <n v="161201.55000487299"/>
    <n v="92213.269880384207"/>
    <n v="41129.5898766518"/>
    <n v="51083.680003732399"/>
    <n v="1957.5700006484999"/>
    <n v="90255.699879735708"/>
    <n v="43101.060176849402"/>
    <n v="634.799999237061"/>
    <n v="819"/>
    <n v="208.29615385210377"/>
    <n v="154.89461517556353"/>
    <n v="112.59251511646423"/>
    <n v="0.54054053823964576"/>
    <n v="0.73829017711985456"/>
    <n v="143282.31"/>
    <n v="128319.87"/>
    <n v="7315.85"/>
    <n v="5.7012604517133636E-2"/>
    <n v="4412.3900000000003"/>
    <n v="3.4385867130320505E-2"/>
    <n v="0"/>
    <n v="0"/>
    <n v="0"/>
    <n v="0"/>
    <n v="14962.44"/>
    <n v="3365.96"/>
    <n v="0.22496063476277933"/>
    <n v="2347.8000000000002"/>
    <n v="0.15691290992645585"/>
    <n v="0"/>
    <n v="0"/>
    <n v="0"/>
    <n v="0"/>
    <n v="28.776357735413281"/>
    <n v="27.411090513705918"/>
    <n v="50.233879210653932"/>
    <n v="1.5431106874038453E-2"/>
  </r>
  <r>
    <x v="2"/>
    <x v="4"/>
    <x v="39"/>
    <n v="0"/>
    <n v="0"/>
    <n v="0"/>
    <n v="0"/>
    <n v="0"/>
    <n v="0"/>
    <n v="0"/>
    <n v="0"/>
    <n v="0"/>
    <n v="0"/>
    <n v="0"/>
    <s v="$0.00"/>
    <s v="$0.00"/>
    <s v="$0.00"/>
    <s v="0.00%"/>
    <s v="0.00%"/>
    <n v="63.93"/>
    <n v="0"/>
    <n v="0"/>
    <s v="0.00%"/>
    <n v="0"/>
    <s v="0.00%"/>
    <n v="0"/>
    <n v="0"/>
    <n v="0"/>
    <s v="0.00%"/>
    <n v="63.93"/>
    <n v="0"/>
    <n v="0"/>
    <n v="0"/>
    <n v="0"/>
    <n v="0"/>
    <n v="0"/>
    <n v="63.93"/>
    <n v="1"/>
    <s v="0.00"/>
    <s v="0.00"/>
    <s v="0.00"/>
    <s v="0.00%"/>
  </r>
  <r>
    <x v="2"/>
    <x v="4"/>
    <x v="40"/>
    <n v="272844.59000456898"/>
    <n v="10189"/>
    <n v="262655.59000456898"/>
    <n v="169215.199781537"/>
    <n v="88646.069787621498"/>
    <n v="80569.129993915602"/>
    <n v="4099.3200006485004"/>
    <n v="165115.87978088862"/>
    <n v="80976.280255813195"/>
    <n v="1288"/>
    <n v="1382"/>
    <n v="197.42734443167075"/>
    <n v="137.90181602659607"/>
    <n v="122.44225743960718"/>
    <n v="0.62018894997589469"/>
    <n v="0.90741260012673541"/>
    <n v="315378.08"/>
    <n v="193072.88"/>
    <n v="5618.63"/>
    <n v="2.9101083487230315E-2"/>
    <n v="1812.66"/>
    <n v="9.3884754813829893E-3"/>
    <n v="1552.26"/>
    <n v="8.0397619800357256E-3"/>
    <n v="11222.25"/>
    <n v="5.8124424310654087E-2"/>
    <n v="122305.2"/>
    <n v="6040.4"/>
    <n v="4.9387924634439091E-2"/>
    <n v="5028.87"/>
    <n v="4.1117385033506343E-2"/>
    <n v="5254.59"/>
    <n v="4.296293207484228E-2"/>
    <n v="88498.57"/>
    <n v="0.72358795864771086"/>
    <n v="37.757245196313512"/>
    <n v="24.13395983296693"/>
    <n v="346.73558873558869"/>
    <n v="2.1509672253406879E-2"/>
  </r>
  <r>
    <x v="2"/>
    <x v="4"/>
    <x v="41"/>
    <n v="0"/>
    <n v="0"/>
    <n v="0"/>
    <n v="35.920000076293903"/>
    <n v="0"/>
    <n v="35.920000076293903"/>
    <n v="100"/>
    <n v="-64.079999923706097"/>
    <n v="0"/>
    <n v="0"/>
    <n v="0"/>
    <s v="$0.00"/>
    <s v="$0.00"/>
    <s v="$0.00"/>
    <s v="0.00%"/>
    <n v="-0.35920000076293901"/>
    <n v="6328.8499999999995"/>
    <n v="817.12"/>
    <n v="0"/>
    <n v="0"/>
    <n v="0"/>
    <n v="0"/>
    <n v="354.04"/>
    <n v="0.43327785392598395"/>
    <n v="463.08"/>
    <n v="0.56672214607401605"/>
    <n v="5511.73"/>
    <n v="0"/>
    <n v="0"/>
    <n v="0"/>
    <n v="0"/>
    <n v="53.47"/>
    <n v="9.7011283208720319E-3"/>
    <n v="5458.26"/>
    <n v="0.99029887167912811"/>
    <s v="0.00"/>
    <s v="0.00"/>
    <s v="0.00"/>
    <s v="0.00%"/>
  </r>
  <r>
    <x v="2"/>
    <x v="4"/>
    <x v="42"/>
    <n v="291334.44000825798"/>
    <n v="11769"/>
    <n v="279565.44000825798"/>
    <n v="167596.19971621601"/>
    <n v="92636.249706631497"/>
    <n v="74959.950009584398"/>
    <n v="4186.24000144005"/>
    <n v="163409.95971477585"/>
    <n v="78576.430481452495"/>
    <n v="1578.60000228882"/>
    <n v="1393"/>
    <n v="209.14173726364535"/>
    <n v="151.60043756246711"/>
    <n v="120.3131369104206"/>
    <n v="0.57527081148203874"/>
    <n v="0.80967019396034434"/>
    <n v="473003.99"/>
    <n v="278082.58"/>
    <n v="7036.26"/>
    <n v="2.5302771572386879E-2"/>
    <n v="5979.06"/>
    <n v="2.1501023185271081E-2"/>
    <n v="3593.11"/>
    <n v="1.292101792208631E-2"/>
    <n v="17394.599999999999"/>
    <n v="6.2551922526035239E-2"/>
    <n v="194921.41"/>
    <n v="6165.87"/>
    <n v="3.1632594900683306E-2"/>
    <n v="6142.57"/>
    <n v="3.1513059545382929E-2"/>
    <n v="7127.41"/>
    <n v="3.6565557370019021E-2"/>
    <n v="154339.37"/>
    <n v="0.79180306565605074"/>
    <n v="52.58529668909901"/>
    <n v="32.05798117388958"/>
    <n v="607.94728652619904"/>
    <n v="1.9823144741552338E-2"/>
  </r>
  <r>
    <x v="2"/>
    <x v="4"/>
    <x v="43"/>
    <n v="0"/>
    <n v="0"/>
    <n v="0"/>
    <n v="0"/>
    <n v="0"/>
    <n v="0"/>
    <n v="0"/>
    <n v="0"/>
    <n v="0"/>
    <n v="0"/>
    <n v="0"/>
    <s v="$0.00"/>
    <s v="$0.00"/>
    <s v="$0.00"/>
    <s v="0.00%"/>
    <s v="0.00%"/>
    <n v="357.61"/>
    <n v="0"/>
    <n v="0"/>
    <s v="0.00%"/>
    <n v="0"/>
    <s v="0.00%"/>
    <n v="0"/>
    <n v="0"/>
    <n v="0"/>
    <s v="0.00%"/>
    <n v="357.61"/>
    <n v="0"/>
    <n v="0"/>
    <n v="0"/>
    <n v="0"/>
    <n v="0"/>
    <n v="0"/>
    <n v="357.61"/>
    <n v="1"/>
    <s v="0.00"/>
    <s v="0.00"/>
    <s v="0.00"/>
    <s v="0.00%"/>
  </r>
  <r>
    <x v="2"/>
    <x v="4"/>
    <x v="44"/>
    <n v="192009.05000277999"/>
    <n v="7733"/>
    <n v="184276.05000277999"/>
    <n v="122070.77988551601"/>
    <n v="62056.119871363"/>
    <n v="60014.660014152498"/>
    <n v="3353.4600072000198"/>
    <n v="118717.31987831548"/>
    <n v="53290.4500895292"/>
    <n v="1258.47999572754"/>
    <n v="1037"/>
    <n v="185.15819672399226"/>
    <n v="132.55556404775626"/>
    <n v="117.71531329365042"/>
    <n v="0.63575534530142253"/>
    <n v="0.91025143693194599"/>
    <n v="257782.39999999999"/>
    <n v="143715.9"/>
    <n v="5243.63"/>
    <n v="3.6486081219962441E-2"/>
    <n v="3476.84"/>
    <n v="2.4192451913810514E-2"/>
    <n v="1630.14"/>
    <n v="1.134279505607939E-2"/>
    <n v="11005.75"/>
    <n v="7.65799052157764E-2"/>
    <n v="114066.5"/>
    <n v="4331.7700000000004"/>
    <n v="3.7975829888705279E-2"/>
    <n v="3662.53"/>
    <n v="3.2108726050154954E-2"/>
    <n v="5528.09"/>
    <n v="4.8463747024761875E-2"/>
    <n v="87565.39"/>
    <n v="0.76766964884519118"/>
    <n v="42.562566171187648"/>
    <n v="24.973815920989967"/>
    <n v="377.84265734265739"/>
    <n v="2.4395875758089786E-2"/>
  </r>
  <r>
    <x v="2"/>
    <x v="4"/>
    <x v="45"/>
    <n v="56148.139999786399"/>
    <n v="3806"/>
    <n v="52342.139999786399"/>
    <n v="28301.7999358177"/>
    <n v="11808.489947795901"/>
    <n v="16493.309988021902"/>
    <n v="155"/>
    <n v="28146.799935817802"/>
    <n v="11326.5200843811"/>
    <n v="381"/>
    <n v="329"/>
    <n v="170.66303951302856"/>
    <n v="135.07787208329879"/>
    <n v="86.023708011604256"/>
    <n v="0.50405587675612173"/>
    <n v="0.63907426360701503"/>
    <n v="41980.35"/>
    <n v="36694"/>
    <n v="150"/>
    <n v="4.0878617757671553E-3"/>
    <n v="0"/>
    <n v="0"/>
    <n v="0"/>
    <n v="0"/>
    <n v="0"/>
    <n v="0"/>
    <n v="5286.35"/>
    <n v="525"/>
    <n v="9.9312379997540834E-2"/>
    <n v="0"/>
    <n v="0"/>
    <n v="0"/>
    <n v="0"/>
    <n v="0"/>
    <n v="0"/>
    <n v="28.367497255141583"/>
    <n v="26.921997082898407"/>
    <n v="45.221000230509873"/>
    <n v="3.4878001318399562E-3"/>
  </r>
  <r>
    <x v="2"/>
    <x v="4"/>
    <x v="46"/>
    <n v="0"/>
    <n v="0"/>
    <n v="0"/>
    <n v="467.710001945496"/>
    <n v="0"/>
    <n v="467.710001945496"/>
    <n v="0"/>
    <n v="467.710001945496"/>
    <n v="0"/>
    <n v="0"/>
    <n v="0"/>
    <s v="$0.00"/>
    <s v="$0.00"/>
    <s v="$0.00"/>
    <s v="0.00%"/>
    <s v="0.00%"/>
    <n v="8999.58"/>
    <n v="1017"/>
    <n v="0"/>
    <n v="0"/>
    <n v="0"/>
    <n v="0"/>
    <n v="0"/>
    <n v="0"/>
    <n v="1017"/>
    <n v="1"/>
    <n v="7982.58"/>
    <n v="0"/>
    <n v="0"/>
    <n v="0"/>
    <n v="0"/>
    <n v="5.5"/>
    <n v="6.8900029814921988E-4"/>
    <n v="7977.08"/>
    <n v="0.99931099970185078"/>
    <s v="0.00"/>
    <s v="0.00"/>
    <s v="0.00"/>
    <s v="0.00%"/>
  </r>
  <r>
    <x v="2"/>
    <x v="4"/>
    <x v="47"/>
    <n v="217590.960002529"/>
    <n v="9041"/>
    <n v="208549.960002529"/>
    <n v="137402.94987928899"/>
    <n v="70100.649874687195"/>
    <n v="67302.300004601493"/>
    <n v="4314.8700056076104"/>
    <n v="133088.07987368107"/>
    <n v="63874.960121879398"/>
    <n v="2005.3200092315701"/>
    <n v="1091"/>
    <n v="199.44175985566361"/>
    <n v="139.05653517086898"/>
    <n v="125.94220887194196"/>
    <n v="0.63147361396673685"/>
    <n v="0.93220390731853708"/>
    <n v="372874.45999999996"/>
    <n v="192386.27"/>
    <n v="6890.52"/>
    <n v="3.5816069410774483E-2"/>
    <n v="4065.01"/>
    <n v="2.1129418435109744E-2"/>
    <n v="7131.81"/>
    <n v="3.7070264941463864E-2"/>
    <n v="16950.22"/>
    <n v="8.8105143885787704E-2"/>
    <n v="180488.19"/>
    <n v="5470.02"/>
    <n v="3.0306802899403004E-2"/>
    <n v="5933.83"/>
    <n v="3.2876555524214632E-2"/>
    <n v="6369.5"/>
    <n v="3.5290397670894702E-2"/>
    <n v="145601"/>
    <n v="0.80670652190594849"/>
    <n v="50.361466908753201"/>
    <n v="27.362458553053262"/>
    <n v="483.96904719342155"/>
    <n v="2.8441438725768459E-2"/>
  </r>
  <r>
    <x v="2"/>
    <x v="4"/>
    <x v="48"/>
    <n v="0"/>
    <n v="0"/>
    <n v="0"/>
    <n v="0"/>
    <n v="0"/>
    <n v="0"/>
    <n v="0"/>
    <n v="0"/>
    <n v="0"/>
    <n v="0"/>
    <n v="0"/>
    <s v="$0.00"/>
    <s v="$0.00"/>
    <s v="$0.00"/>
    <s v="0.00%"/>
    <s v="0.00%"/>
    <n v="287.2"/>
    <n v="0"/>
    <n v="0"/>
    <s v="0.00%"/>
    <n v="0"/>
    <s v="0.00%"/>
    <n v="0"/>
    <n v="0"/>
    <n v="0"/>
    <s v="0.00%"/>
    <n v="287.2"/>
    <n v="0"/>
    <n v="0"/>
    <n v="0"/>
    <n v="0"/>
    <n v="0"/>
    <n v="0"/>
    <n v="287.2"/>
    <n v="1"/>
    <s v="0.00"/>
    <s v="0.00"/>
    <s v="0.00"/>
    <s v="0.00%"/>
  </r>
  <r>
    <x v="2"/>
    <x v="4"/>
    <x v="49"/>
    <n v="169900.33000146001"/>
    <n v="8129"/>
    <n v="161771.33000146001"/>
    <n v="96460.359969347701"/>
    <n v="50540.809971302697"/>
    <n v="45919.549998044997"/>
    <n v="2274.2099971771199"/>
    <n v="94186.149972170562"/>
    <n v="52599.400043875001"/>
    <n v="1491.2499961853"/>
    <n v="925"/>
    <n v="183.67603243401084"/>
    <n v="125.199654012324"/>
    <n v="104.28147023713264"/>
    <n v="0.56774674874686104"/>
    <n v="0.84960550213730024"/>
    <n v="302284.43"/>
    <n v="158175.18"/>
    <n v="7046.11"/>
    <n v="4.4546242969345756E-2"/>
    <n v="1743.55"/>
    <n v="1.1022905110650103E-2"/>
    <n v="2808.16"/>
    <n v="1.7753480666182899E-2"/>
    <n v="16525.7"/>
    <n v="0.10447720053171428"/>
    <n v="144109.25"/>
    <n v="4793.5"/>
    <n v="3.3262958484621907E-2"/>
    <n v="4417.46"/>
    <n v="3.0653549303740046E-2"/>
    <n v="5769.96"/>
    <n v="4.0038790015214154E-2"/>
    <n v="115982.65"/>
    <n v="0.80482446477238623"/>
    <n v="59.621673794426805"/>
    <n v="32.97485262480113"/>
    <n v="527.4862737920937"/>
    <n v="1.963747760925626E-2"/>
  </r>
  <r>
    <x v="3"/>
    <x v="0"/>
    <x v="0"/>
    <n v="0"/>
    <n v="0"/>
    <n v="0"/>
    <n v="58.829999923705998"/>
    <n v="8.8299999237059996"/>
    <n v="50"/>
    <n v="0"/>
    <n v="58.829999923705998"/>
    <n v="0"/>
    <n v="0"/>
    <n v="0"/>
    <s v="$0.00"/>
    <s v="$0.00"/>
    <s v="$0.00"/>
    <s v="0.00%"/>
    <s v="0.00%"/>
    <n v="1926.24"/>
    <n v="-333.49"/>
    <n v="0"/>
    <n v="0"/>
    <n v="0"/>
    <n v="0"/>
    <n v="0"/>
    <n v="0"/>
    <n v="-333.49"/>
    <n v="0"/>
    <n v="2259.73"/>
    <n v="0"/>
    <n v="0"/>
    <n v="0"/>
    <n v="0"/>
    <n v="0"/>
    <n v="0"/>
    <n v="2259.73"/>
    <n v="1"/>
    <s v="0.00"/>
    <s v="0.00"/>
    <s v="0.00"/>
    <s v="0.00%"/>
  </r>
  <r>
    <x v="3"/>
    <x v="0"/>
    <x v="1"/>
    <n v="167657.10000350868"/>
    <n v="8338"/>
    <n v="159319.10000350868"/>
    <n v="133305.42988391171"/>
    <n v="75517.709903433919"/>
    <n v="57787.719980478301"/>
    <n v="1475.43000650406"/>
    <n v="131829.99987740815"/>
    <n v="68883.120074922248"/>
    <n v="2033.7799987793001"/>
    <n v="921"/>
    <n v="182.03811075299529"/>
    <n v="105.03821925060493"/>
    <n v="144.73988043855832"/>
    <n v="0.79510757302328638"/>
    <n v="1.3993150877416214"/>
    <n v="178201.85"/>
    <n v="124293.95"/>
    <n v="3943"/>
    <n v="3.1723185239506832E-2"/>
    <n v="2921.23"/>
    <n v="2.350259204088373E-2"/>
    <n v="3194.25"/>
    <n v="2.5699159130432334E-2"/>
    <n v="17839.09"/>
    <n v="0.14352339755877097"/>
    <n v="53907.9"/>
    <n v="5792.35"/>
    <n v="0.10744900098130331"/>
    <n v="3948.28"/>
    <n v="7.3241213254458065E-2"/>
    <n v="4837.28"/>
    <n v="8.9732302686619206E-2"/>
    <n v="24664.07"/>
    <n v="0.45752236685161174"/>
    <n v="29.395252567041307"/>
    <n v="21.503276770643833"/>
    <n v="191.14017255643543"/>
    <n v="1.5251467410389933E-2"/>
  </r>
  <r>
    <x v="3"/>
    <x v="0"/>
    <x v="2"/>
    <n v="0"/>
    <n v="0"/>
    <n v="0"/>
    <n v="50.279998779296001"/>
    <n v="0"/>
    <n v="50.279998779296001"/>
    <n v="0"/>
    <n v="50.279998779296001"/>
    <n v="0"/>
    <n v="0"/>
    <n v="0"/>
    <s v="$0.00"/>
    <s v="$0.00"/>
    <s v="$0.00"/>
    <s v="0.00%"/>
    <s v="0.00%"/>
    <n v="1401.43"/>
    <n v="66"/>
    <n v="0"/>
    <n v="0"/>
    <n v="0"/>
    <n v="0"/>
    <n v="0"/>
    <n v="0"/>
    <n v="66"/>
    <n v="1"/>
    <n v="1335.43"/>
    <n v="0"/>
    <n v="0"/>
    <n v="0"/>
    <n v="0"/>
    <n v="0"/>
    <n v="0"/>
    <n v="1335.43"/>
    <n v="1"/>
    <s v="0.00"/>
    <s v="0.00"/>
    <s v="0.00"/>
    <s v="0.00%"/>
  </r>
  <r>
    <x v="3"/>
    <x v="0"/>
    <x v="3"/>
    <n v="177490.29000572101"/>
    <n v="9829"/>
    <n v="167661.29000572101"/>
    <n v="134714.97982066899"/>
    <n v="74224.889796674295"/>
    <n v="60490.090023994402"/>
    <n v="1288.7699954509701"/>
    <n v="133426.20982521772"/>
    <n v="72851.100146958604"/>
    <n v="368.77999877929699"/>
    <n v="881"/>
    <n v="201.46457435382635"/>
    <n v="118.35460824061646"/>
    <n v="152.91144134014607"/>
    <n v="0.75899915322875666"/>
    <n v="1.308145607293498"/>
    <n v="182597.15"/>
    <n v="139461.69"/>
    <n v="3193.6"/>
    <n v="2.2899478702717569E-2"/>
    <n v="3551.84"/>
    <n v="2.5468212811704777E-2"/>
    <n v="1070.1500000000001"/>
    <n v="7.673433471227834E-3"/>
    <n v="24054.87"/>
    <n v="0.17248371219364972"/>
    <n v="43135.46"/>
    <n v="3439.51"/>
    <n v="7.9737413255822481E-2"/>
    <n v="2782.02"/>
    <n v="6.4494965395060125E-2"/>
    <n v="4149.07"/>
    <n v="9.6186988616789981E-2"/>
    <n v="20692.71"/>
    <n v="0.47971460139755084"/>
    <n v="29.371419821464677"/>
    <n v="24.009988028914751"/>
    <n v="105.6349868030802"/>
    <n v="1.2359882321183568E-2"/>
  </r>
  <r>
    <x v="3"/>
    <x v="0"/>
    <x v="4"/>
    <n v="0"/>
    <n v="0"/>
    <n v="0"/>
    <n v="0"/>
    <n v="0"/>
    <n v="0"/>
    <n v="0"/>
    <n v="0"/>
    <n v="0"/>
    <n v="0"/>
    <n v="0"/>
    <s v="$0.00"/>
    <s v="$0.00"/>
    <s v="$0.00"/>
    <s v="0.00%"/>
    <s v="0.00%"/>
    <n v="1051.03"/>
    <n v="1123"/>
    <n v="0"/>
    <n v="0"/>
    <n v="0"/>
    <n v="0"/>
    <n v="0"/>
    <n v="0"/>
    <n v="1123"/>
    <n v="1"/>
    <n v="-71.97"/>
    <n v="0"/>
    <n v="0"/>
    <n v="0"/>
    <n v="0"/>
    <n v="0"/>
    <n v="0"/>
    <n v="-71.97"/>
    <n v="1"/>
    <s v="0.00"/>
    <s v="0.00"/>
    <s v="0.00"/>
    <s v="0.00%"/>
  </r>
  <r>
    <x v="3"/>
    <x v="0"/>
    <x v="5"/>
    <n v="386754.50001281302"/>
    <n v="21490"/>
    <n v="365264.50001281302"/>
    <n v="282944.129727719"/>
    <n v="151380.60967671699"/>
    <n v="131563.520051003"/>
    <n v="1467.8800040855999"/>
    <n v="281476.24972363439"/>
    <n v="158689.980279954"/>
    <n v="1766.47999954224"/>
    <n v="1883"/>
    <n v="205.39272438280034"/>
    <n v="120.17952189767222"/>
    <n v="150.26241621227828"/>
    <n v="0.73158587610059134"/>
    <n v="1.258479423172038"/>
    <n v="365998.1"/>
    <n v="259107.07"/>
    <n v="6484.97"/>
    <n v="2.5028147630244132E-2"/>
    <n v="4202.18"/>
    <n v="1.6217928750458258E-2"/>
    <n v="4237.8500000000004"/>
    <n v="1.635559384774796E-2"/>
    <n v="21208.97"/>
    <n v="8.1854076772200773E-2"/>
    <n v="106891.03"/>
    <n v="7785.82"/>
    <n v="7.2838852801773921E-2"/>
    <n v="9867.75"/>
    <n v="9.2315978244385893E-2"/>
    <n v="8118.7"/>
    <n v="7.5953052374927998E-2"/>
    <n v="53285.51"/>
    <n v="0.49850310171021839"/>
    <n v="28.391926707143785"/>
    <n v="21.159237138736906"/>
    <n v="165.63407482653537"/>
    <n v="6.4864901428904912E-3"/>
  </r>
  <r>
    <x v="3"/>
    <x v="0"/>
    <x v="6"/>
    <n v="0"/>
    <n v="0"/>
    <n v="0"/>
    <n v="1442.76999664307"/>
    <n v="409.709999084473"/>
    <n v="1033.0599975585901"/>
    <n v="0"/>
    <n v="1442.7699966430632"/>
    <n v="208.43999862670901"/>
    <n v="83"/>
    <n v="0"/>
    <s v="$0.00"/>
    <s v="$0.00"/>
    <s v="$0.00"/>
    <s v="0.00%"/>
    <n v="-4.950487247603359"/>
    <n v="11652.58"/>
    <n v="1659.09"/>
    <n v="0"/>
    <n v="0"/>
    <n v="0"/>
    <n v="0"/>
    <n v="540"/>
    <n v="0.32547963039979749"/>
    <n v="1119.0899999999999"/>
    <n v="0.67452036960020245"/>
    <n v="9993.49"/>
    <n v="0"/>
    <n v="0"/>
    <n v="0"/>
    <n v="0"/>
    <n v="640.96"/>
    <n v="6.4137753677644155E-2"/>
    <n v="9352.5300000000007"/>
    <n v="0.93586224632235593"/>
    <s v="0.00"/>
    <s v="0.00"/>
    <s v="0.00"/>
    <n v="0"/>
  </r>
  <r>
    <x v="3"/>
    <x v="0"/>
    <x v="7"/>
    <n v="0"/>
    <n v="0"/>
    <n v="0"/>
    <n v="10"/>
    <n v="0"/>
    <n v="10"/>
    <n v="0"/>
    <n v="10"/>
    <n v="0"/>
    <n v="0"/>
    <n v="0"/>
    <s v="$0.00"/>
    <s v="$0.00"/>
    <s v="$0.00"/>
    <s v="0.00%"/>
    <s v="0.00%"/>
    <n v="0"/>
    <n v="0"/>
    <n v="0"/>
    <s v="0.00%"/>
    <n v="0"/>
    <s v="0.00%"/>
    <n v="0"/>
    <n v="0"/>
    <n v="0"/>
    <s v="0.00%"/>
    <n v="0"/>
    <n v="0"/>
    <s v="0.00%"/>
    <n v="0"/>
    <s v="0.00%"/>
    <n v="0"/>
    <n v="0"/>
    <n v="0"/>
    <s v="0.00%"/>
    <s v="0.00"/>
    <s v="0.00"/>
    <s v="0.00"/>
    <s v="0.00%"/>
  </r>
  <r>
    <x v="3"/>
    <x v="0"/>
    <x v="8"/>
    <n v="253213.35001033399"/>
    <n v="12235.0099999998"/>
    <n v="240978.34001033401"/>
    <n v="183443.90980251101"/>
    <n v="103942.54983015401"/>
    <n v="79501.359972357794"/>
    <n v="1536.26999726892"/>
    <n v="181907.63980524288"/>
    <n v="104666.590392567"/>
    <n v="1666"/>
    <n v="1239"/>
    <n v="204.36912833763827"/>
    <n v="118.54782858576823"/>
    <n v="148.05803858152689"/>
    <n v="0.72446381596793896"/>
    <n v="1.2621318515857978"/>
    <n v="267144.93"/>
    <n v="193242.93"/>
    <n v="4437.99"/>
    <n v="2.2965859604798994E-2"/>
    <n v="1912.68"/>
    <n v="9.8978006595118392E-3"/>
    <n v="2866.14"/>
    <n v="1.4831797468605967E-2"/>
    <n v="17029.21"/>
    <n v="8.8123327461449685E-2"/>
    <n v="73902"/>
    <n v="8048.87"/>
    <n v="0.1089127493166626"/>
    <n v="10304.66"/>
    <n v="0.13943682173689481"/>
    <n v="4643.01"/>
    <n v="6.2826581148006821E-2"/>
    <n v="29933.39"/>
    <n v="0.40504167681524178"/>
    <n v="30.061272220083367"/>
    <n v="22.711120070991754"/>
    <n v="195.53661751091767"/>
    <n v="1.0459300464314113E-2"/>
  </r>
  <r>
    <x v="3"/>
    <x v="0"/>
    <x v="9"/>
    <n v="0"/>
    <n v="0"/>
    <n v="0"/>
    <n v="0"/>
    <n v="0"/>
    <n v="0"/>
    <n v="0"/>
    <n v="0"/>
    <n v="0"/>
    <n v="0"/>
    <n v="0"/>
    <s v="$0.00"/>
    <s v="$0.00"/>
    <s v="$0.00"/>
    <s v="0.00%"/>
    <s v="0.00%"/>
    <n v="0"/>
    <n v="0"/>
    <n v="0"/>
    <s v="0.00%"/>
    <n v="0"/>
    <s v="0.00%"/>
    <n v="0"/>
    <n v="0"/>
    <n v="0"/>
    <s v="0.00%"/>
    <n v="0"/>
    <n v="0"/>
    <s v="0.00%"/>
    <n v="0"/>
    <s v="0.00%"/>
    <n v="0"/>
    <n v="0"/>
    <n v="0"/>
    <s v="0.00%"/>
    <s v="0.00"/>
    <s v="0.00"/>
    <s v="0.00"/>
    <s v="0.00%"/>
  </r>
  <r>
    <x v="3"/>
    <x v="0"/>
    <x v="10"/>
    <n v="251469.71000920999"/>
    <n v="12908"/>
    <n v="238561.71000920999"/>
    <n v="199798.48958872599"/>
    <n v="121719.899606872"/>
    <n v="78078.589981854006"/>
    <n v="865.540001869202"/>
    <n v="198932.94958685682"/>
    <n v="115257.28030284301"/>
    <n v="1409.4300003051801"/>
    <n v="1398"/>
    <n v="179.87819027840484"/>
    <n v="96.42560780118869"/>
    <n v="142.9173745269857"/>
    <n v="0.7945230842370975"/>
    <n v="1.4917297224390453"/>
    <n v="287167.19"/>
    <n v="204073.98"/>
    <n v="8790.61"/>
    <n v="4.307560424900813E-2"/>
    <n v="3978.57"/>
    <n v="1.9495724050660451E-2"/>
    <n v="6558.97"/>
    <n v="3.214015819165187E-2"/>
    <n v="22494.73"/>
    <n v="0.11022831034118116"/>
    <n v="83093.210000000006"/>
    <n v="9258.5499999999993"/>
    <n v="0.111423665062404"/>
    <n v="6135.98"/>
    <n v="7.3844541569642083E-2"/>
    <n v="6085.51"/>
    <n v="7.3237151386978547E-2"/>
    <n v="40172.26"/>
    <n v="0.48346020089968844"/>
    <n v="31.771187947125831"/>
    <n v="23.768182878031883"/>
    <n v="183.59533793238901"/>
    <n v="6.4207770135420849E-3"/>
  </r>
  <r>
    <x v="3"/>
    <x v="0"/>
    <x v="11"/>
    <n v="0"/>
    <n v="0"/>
    <n v="0"/>
    <n v="0"/>
    <n v="0"/>
    <n v="0"/>
    <n v="0"/>
    <n v="0"/>
    <n v="0"/>
    <n v="0"/>
    <n v="0"/>
    <s v="$0.00"/>
    <s v="$0.00"/>
    <s v="$0.00"/>
    <s v="0.00%"/>
    <s v="0.00%"/>
    <n v="157"/>
    <n v="157"/>
    <n v="0"/>
    <n v="0"/>
    <n v="0"/>
    <n v="0"/>
    <n v="0"/>
    <n v="0"/>
    <n v="157"/>
    <n v="1"/>
    <n v="0"/>
    <n v="0"/>
    <s v="0.00%"/>
    <n v="0"/>
    <s v="0.00%"/>
    <n v="0"/>
    <n v="0"/>
    <n v="0"/>
    <s v="0.00%"/>
    <s v="0.00"/>
    <s v="0.00"/>
    <s v="0.00"/>
    <s v="0.00%"/>
  </r>
  <r>
    <x v="3"/>
    <x v="0"/>
    <x v="12"/>
    <n v="262540.29000726301"/>
    <n v="16758"/>
    <n v="245782.29000726299"/>
    <n v="191706.64968040999"/>
    <n v="107521.4797065"/>
    <n v="84185.169973909899"/>
    <n v="1444.28000354767"/>
    <n v="190262.36967686223"/>
    <n v="99744.580213123903"/>
    <n v="947.31999778747604"/>
    <n v="1443"/>
    <n v="181.94060291563613"/>
    <n v="112.16104628991793"/>
    <n v="132.85284108136514"/>
    <n v="0.7301989712706819"/>
    <n v="1.195147991706945"/>
    <n v="322289.31"/>
    <n v="223700.18"/>
    <n v="6754.7"/>
    <n v="3.0195326619764009E-2"/>
    <n v="3762.78"/>
    <n v="1.6820639125100394E-2"/>
    <n v="3925.13"/>
    <n v="1.7546387311802789E-2"/>
    <n v="32216.41"/>
    <n v="0.14401602180203879"/>
    <n v="98589.13"/>
    <n v="11221.65"/>
    <n v="0.11382238589588932"/>
    <n v="11311.34"/>
    <n v="0.1147321210766339"/>
    <n v="7447.89"/>
    <n v="7.5544738045664875E-2"/>
    <n v="43636.59"/>
    <n v="0.44261055960226037"/>
    <n v="35.789619130644425"/>
    <n v="26.756064782379656"/>
    <n v="152.9989338554108"/>
    <n v="8.9236600090057041E-3"/>
  </r>
  <r>
    <x v="3"/>
    <x v="0"/>
    <x v="13"/>
    <n v="194140.010009363"/>
    <n v="9814"/>
    <n v="184326.010009363"/>
    <n v="127368.279788703"/>
    <n v="72858.489791035696"/>
    <n v="54509.789997667103"/>
    <n v="998.36000223457802"/>
    <n v="126369.91978646822"/>
    <n v="63457.750201702103"/>
    <n v="857"/>
    <n v="1009"/>
    <n v="192.40833499441328"/>
    <n v="128.66725451700782"/>
    <n v="126.2321900780008"/>
    <n v="0.65606404255650375"/>
    <n v="0.98867767509016713"/>
    <n v="220558.46000000002"/>
    <n v="150563.92000000001"/>
    <n v="3436.47"/>
    <n v="2.2823993955524004E-2"/>
    <n v="2277.84"/>
    <n v="1.5128724066164058E-2"/>
    <n v="4329.0600000000004"/>
    <n v="2.8752306661516253E-2"/>
    <n v="12683.95"/>
    <n v="8.4242958073886487E-2"/>
    <n v="69994.539999999994"/>
    <n v="4747.43"/>
    <n v="6.7825718977508831E-2"/>
    <n v="4109.22"/>
    <n v="5.8707722059463507E-2"/>
    <n v="4496.6000000000004"/>
    <n v="6.4242153745134992E-2"/>
    <n v="36958.86"/>
    <n v="0.52802490022793214"/>
    <n v="34.909646494349445"/>
    <n v="25.066727528268892"/>
    <n v="224.73363775819627"/>
    <n v="7.6900289182064516E-3"/>
  </r>
  <r>
    <x v="3"/>
    <x v="0"/>
    <x v="14"/>
    <n v="0"/>
    <n v="0"/>
    <n v="0"/>
    <n v="1806.9400005340599"/>
    <n v="440.83999633789102"/>
    <n v="1366.1000041961699"/>
    <n v="85"/>
    <n v="1721.940000534061"/>
    <n v="288.290003657341"/>
    <n v="67.979999542236001"/>
    <n v="0"/>
    <s v="$0.00"/>
    <s v="$0.00"/>
    <s v="$0.00"/>
    <s v="0.00%"/>
    <n v="-4.0948625273239356"/>
    <n v="15932.44"/>
    <n v="2174.4299999999998"/>
    <n v="0"/>
    <n v="0"/>
    <n v="0"/>
    <n v="0"/>
    <n v="322"/>
    <n v="0.14808478543802284"/>
    <n v="1852.43"/>
    <n v="0.85191521456197727"/>
    <n v="13758.01"/>
    <n v="0"/>
    <n v="0"/>
    <n v="0"/>
    <n v="0"/>
    <n v="964.71"/>
    <n v="7.0119879255793535E-2"/>
    <n v="12793.3"/>
    <n v="0.92988012074420645"/>
    <s v="0.00"/>
    <s v="0.00"/>
    <s v="0.00"/>
    <n v="-0.23858309494662761"/>
  </r>
  <r>
    <x v="3"/>
    <x v="0"/>
    <x v="15"/>
    <n v="0"/>
    <n v="0"/>
    <n v="0"/>
    <n v="0"/>
    <n v="0"/>
    <n v="0"/>
    <n v="0"/>
    <n v="0"/>
    <n v="0"/>
    <n v="0"/>
    <n v="0"/>
    <s v="$0.00"/>
    <s v="$0.00"/>
    <s v="$0.00"/>
    <s v="0.00%"/>
    <s v="0.00%"/>
    <n v="0"/>
    <n v="0"/>
    <n v="0"/>
    <s v="0.00%"/>
    <n v="0"/>
    <s v="0.00%"/>
    <n v="0"/>
    <n v="0"/>
    <n v="0"/>
    <s v="0.00%"/>
    <n v="0"/>
    <n v="0"/>
    <s v="0.00%"/>
    <n v="0"/>
    <s v="0.00%"/>
    <n v="0"/>
    <n v="0"/>
    <n v="0"/>
    <s v="0.00%"/>
    <s v="0.00"/>
    <s v="0.00"/>
    <s v="0.00"/>
    <s v="0.00%"/>
  </r>
  <r>
    <x v="3"/>
    <x v="0"/>
    <x v="16"/>
    <n v="157791.79000741799"/>
    <n v="8770"/>
    <n v="149021.79000741799"/>
    <n v="122017.21987141699"/>
    <n v="64997.679899014503"/>
    <n v="57019.539972402199"/>
    <n v="787.16999760270096"/>
    <n v="121230.049873814"/>
    <n v="61609.230133615398"/>
    <n v="555"/>
    <n v="821"/>
    <n v="192.19462851086234"/>
    <n v="116.47693041876076"/>
    <n v="148.62024344874141"/>
    <n v="0.77327990173430772"/>
    <n v="1.2865533348259339"/>
    <n v="149152.31"/>
    <n v="111294.19"/>
    <n v="3442.57"/>
    <n v="3.0932162766088688E-2"/>
    <n v="2769.52"/>
    <n v="2.4884677268418053E-2"/>
    <n v="2683.48"/>
    <n v="2.4111591090244692E-2"/>
    <n v="13865.46"/>
    <n v="0.12458386192486777"/>
    <n v="37858.120000000003"/>
    <n v="2374.54"/>
    <n v="6.2722079173503587E-2"/>
    <n v="1156.58"/>
    <n v="3.0550381265630724E-2"/>
    <n v="2478.27"/>
    <n v="6.5462046187185208E-2"/>
    <n v="19880.78"/>
    <n v="0.52513912471089419"/>
    <n v="26.796229106841356"/>
    <n v="21.130956302256639"/>
    <n v="126.49356994356994"/>
    <n v="8.2316227522851206E-3"/>
  </r>
  <r>
    <x v="3"/>
    <x v="1"/>
    <x v="17"/>
    <n v="495397.98016915569"/>
    <n v="15195"/>
    <n v="480202.9801691561"/>
    <n v="388543.32049142738"/>
    <n v="263407.91047262598"/>
    <n v="125135.4100188016"/>
    <n v="8891.649998426441"/>
    <n v="379651.67049300112"/>
    <n v="160846.3191759121"/>
    <n v="6965.3399944305438"/>
    <n v="2664"/>
    <n v="185.96020276619973"/>
    <n v="122.96783821276783"/>
    <n v="145.8495947790644"/>
    <n v="0.78430541916775176"/>
    <n v="1.2191710619816285"/>
    <n v="655892.89"/>
    <n v="581274.85"/>
    <n v="46249.97"/>
    <n v="7.9566439181051787E-2"/>
    <n v="20260.14"/>
    <n v="3.4854664708098074E-2"/>
    <n v="10445.879999999999"/>
    <n v="1.7970638158523459E-2"/>
    <n v="12767.01"/>
    <n v="2.1963809375203487E-2"/>
    <n v="74618.039999999994"/>
    <n v="13499.54"/>
    <n v="0.18091523175896876"/>
    <n v="10195.08"/>
    <n v="0.13663023043757247"/>
    <n v="7935.69"/>
    <n v="0.10635082347378731"/>
    <n v="14277.87"/>
    <n v="0.19134608735367481"/>
    <n v="38.828687947943152"/>
    <n v="35.317942418602016"/>
    <n v="172.08075641879771"/>
    <n v="2.7142922119933875E-2"/>
  </r>
  <r>
    <x v="3"/>
    <x v="2"/>
    <x v="18"/>
    <n v="0"/>
    <n v="0"/>
    <n v="0"/>
    <n v="50.869998931883998"/>
    <n v="0"/>
    <n v="50.869998931883998"/>
    <n v="0"/>
    <n v="50.869998931883998"/>
    <n v="0"/>
    <n v="0"/>
    <n v="0"/>
    <s v="$0.00"/>
    <s v="$0.00"/>
    <s v="$0.00"/>
    <s v="0.00%"/>
    <s v="0.00%"/>
    <n v="-15.509999999999991"/>
    <n v="-125.21"/>
    <n v="0"/>
    <n v="0"/>
    <n v="0"/>
    <n v="0"/>
    <n v="0"/>
    <n v="0"/>
    <n v="-125.21"/>
    <n v="0"/>
    <n v="109.7"/>
    <n v="0"/>
    <n v="0"/>
    <n v="0"/>
    <n v="0"/>
    <n v="0"/>
    <n v="0"/>
    <n v="109.7"/>
    <n v="1"/>
    <s v="0.00"/>
    <s v="0.00"/>
    <s v="0.00"/>
    <s v="0.00%"/>
  </r>
  <r>
    <x v="3"/>
    <x v="2"/>
    <x v="19"/>
    <n v="89825.190002441406"/>
    <n v="6806"/>
    <n v="83019.190002441406"/>
    <n v="74620.2902834415"/>
    <n v="38891.300240755103"/>
    <n v="35728.990042686499"/>
    <n v="1219.4399948120099"/>
    <n v="73400.85028862959"/>
    <n v="39234.499788999601"/>
    <n v="1780.1800079345701"/>
    <n v="791"/>
    <n v="113.55902655175905"/>
    <n v="61.707345392550231"/>
    <n v="94.336650168699876"/>
    <n v="0.8307278869258552"/>
    <n v="1.5679473050948969"/>
    <n v="96220.49"/>
    <n v="66294.58"/>
    <n v="2043.77"/>
    <n v="3.082861374187754E-2"/>
    <n v="870.18"/>
    <n v="1.3125959920102065E-2"/>
    <n v="1470"/>
    <n v="2.2173758397745335E-2"/>
    <n v="6239.74"/>
    <n v="9.4121419880780599E-2"/>
    <n v="29925.91"/>
    <n v="3491.26"/>
    <n v="0.11666345317485752"/>
    <n v="3742.08"/>
    <n v="0.12504481902137646"/>
    <n v="1669.38"/>
    <n v="5.5783767310668253E-2"/>
    <n v="16329.04"/>
    <n v="0.5456489042438476"/>
    <n v="28.286681136243597"/>
    <n v="20.762933682039652"/>
    <n v="143.39963262698328"/>
    <n v="2.4983143787634939E-2"/>
  </r>
  <r>
    <x v="3"/>
    <x v="2"/>
    <x v="20"/>
    <n v="0"/>
    <n v="0"/>
    <n v="0"/>
    <n v="253.02000427246099"/>
    <n v="0"/>
    <n v="253.02000427246099"/>
    <n v="0"/>
    <n v="253.02000427246099"/>
    <n v="71"/>
    <n v="0"/>
    <n v="0"/>
    <s v="$0.00"/>
    <s v="$0.00"/>
    <s v="$0.00"/>
    <s v="0.00%"/>
    <n v="-3.5636620320064929"/>
    <n v="894.44"/>
    <n v="75.59"/>
    <n v="0"/>
    <n v="0"/>
    <n v="0"/>
    <n v="0"/>
    <n v="0"/>
    <n v="0"/>
    <n v="75.59"/>
    <n v="1"/>
    <n v="818.85"/>
    <n v="0"/>
    <n v="0"/>
    <n v="0"/>
    <n v="0"/>
    <n v="-95.5"/>
    <n v="0"/>
    <n v="914.35"/>
    <n v="1.1166269768577883"/>
    <s v="0.00"/>
    <s v="0.00"/>
    <s v="0.00"/>
    <n v="0"/>
  </r>
  <r>
    <x v="3"/>
    <x v="2"/>
    <x v="21"/>
    <n v="186336.10000610401"/>
    <n v="9079"/>
    <n v="177257.10000610401"/>
    <n v="139127.76064727601"/>
    <n v="70339.610497206493"/>
    <n v="68788.150150069996"/>
    <n v="1601.42999577522"/>
    <n v="137526.33065150125"/>
    <n v="77283.749254465103"/>
    <n v="1540.0400009155301"/>
    <n v="978"/>
    <n v="190.52770961769326"/>
    <n v="109.93078808867421"/>
    <n v="142.25742397472033"/>
    <n v="0.74664952546886465"/>
    <n v="1.3136304755050054"/>
    <n v="158867.54999999999"/>
    <n v="117665.11"/>
    <n v="6214.52"/>
    <n v="5.281531628194628E-2"/>
    <n v="3680.5"/>
    <n v="3.1279450637491435E-2"/>
    <n v="710.04"/>
    <n v="6.0344141096710822E-3"/>
    <n v="7514.84"/>
    <n v="6.3866340668019606E-2"/>
    <n v="41202.44"/>
    <n v="5656.12"/>
    <n v="0.13727633606165071"/>
    <n v="4218.41"/>
    <n v="0.10238252880169232"/>
    <n v="2811.63"/>
    <n v="6.8239405239107195E-2"/>
    <n v="19916.759999999998"/>
    <n v="0.48338787702864194"/>
    <n v="23.428856708862142"/>
    <n v="18.397647745145207"/>
    <n v="106.96684454957165"/>
    <n v="1.4895317425446045E-2"/>
  </r>
  <r>
    <x v="3"/>
    <x v="2"/>
    <x v="22"/>
    <n v="0"/>
    <n v="0"/>
    <n v="0"/>
    <n v="410.22999858856201"/>
    <n v="195.93999862670901"/>
    <n v="214.289999961853"/>
    <n v="0"/>
    <n v="410.22999858856201"/>
    <n v="63.04999923706"/>
    <n v="200"/>
    <n v="0"/>
    <s v="$0.00"/>
    <s v="$0.00"/>
    <s v="$0.00"/>
    <s v="0.00%"/>
    <n v="-1.5595133996516906"/>
    <n v="3678.31"/>
    <n v="1521.12"/>
    <n v="0"/>
    <n v="0"/>
    <n v="0"/>
    <n v="0"/>
    <n v="0"/>
    <n v="0"/>
    <n v="1521.12"/>
    <n v="1"/>
    <n v="2157.19"/>
    <n v="0"/>
    <n v="0"/>
    <n v="0"/>
    <n v="0"/>
    <n v="0"/>
    <n v="0"/>
    <n v="2157.19"/>
    <n v="1"/>
    <s v="0.00"/>
    <s v="0.00"/>
    <s v="0.00"/>
    <n v="0"/>
  </r>
  <r>
    <x v="3"/>
    <x v="2"/>
    <x v="23"/>
    <n v="109984.299999237"/>
    <n v="3703"/>
    <n v="106281.299999237"/>
    <n v="84481.5003415346"/>
    <n v="46315.3502631187"/>
    <n v="38166.1500784159"/>
    <n v="1957.59999400377"/>
    <n v="82523.900347530827"/>
    <n v="53505.089634418502"/>
    <n v="839.5"/>
    <n v="579"/>
    <n v="189.95561312476167"/>
    <n v="96.09621824666408"/>
    <n v="145.90932701474023"/>
    <n v="0.76812327161350002"/>
    <n v="1.573736571792165"/>
    <n v="105129.94"/>
    <n v="79910.759999999995"/>
    <n v="4576.66"/>
    <n v="5.7272137068900358E-2"/>
    <n v="1654.08"/>
    <n v="2.069908983471062E-2"/>
    <n v="2999.16"/>
    <n v="3.7531366239039653E-2"/>
    <n v="7172.48"/>
    <n v="8.9756122955156475E-2"/>
    <n v="25219.18"/>
    <n v="2484.0500000000002"/>
    <n v="9.8498444437923841E-2"/>
    <n v="4315.05"/>
    <n v="0.17110191528828456"/>
    <n v="1821.75"/>
    <n v="7.2236686521924984E-2"/>
    <n v="8980.41"/>
    <n v="0.35609444874892837"/>
    <n v="24.750515410453982"/>
    <n v="19.738214468148144"/>
    <n v="126.69417806307563"/>
    <n v="3.5183504392243894E-2"/>
  </r>
  <r>
    <x v="3"/>
    <x v="2"/>
    <x v="24"/>
    <n v="90069"/>
    <n v="6928"/>
    <n v="83141"/>
    <n v="63628.090266704603"/>
    <n v="30134.5802493095"/>
    <n v="33493.510017394998"/>
    <n v="527.10999989509605"/>
    <n v="63100.980266809405"/>
    <n v="33999.829717636101"/>
    <n v="491"/>
    <n v="471"/>
    <n v="191.22929936305732"/>
    <n v="118.00036153368131"/>
    <n v="135.09148676582697"/>
    <n v="0.70643717890400137"/>
    <n v="1.1558013585973943"/>
    <n v="74185.61"/>
    <n v="53492.06"/>
    <n v="860.5"/>
    <n v="1.6086499566477716E-2"/>
    <n v="1241"/>
    <n v="2.3199704778615743E-2"/>
    <n v="553"/>
    <n v="1.0337982870728853E-2"/>
    <n v="2971.7"/>
    <n v="5.555403923498179E-2"/>
    <n v="20693.55"/>
    <n v="1239.99"/>
    <n v="5.9921569764491839E-2"/>
    <n v="629.04999999999995"/>
    <n v="3.0398360841904844E-2"/>
    <n v="1947.73"/>
    <n v="9.4122564760517169E-2"/>
    <n v="10547.18"/>
    <n v="0.50968441857487001"/>
    <n v="25.692512108377176"/>
    <n v="20.175558864214722"/>
    <n v="87.643270588235296"/>
    <n v="9.4841193442879307E-3"/>
  </r>
  <r>
    <x v="3"/>
    <x v="2"/>
    <x v="25"/>
    <n v="72083.5"/>
    <n v="6206"/>
    <n v="65877.5"/>
    <n v="48281.9301972389"/>
    <n v="24699.850167751301"/>
    <n v="23582.080029487599"/>
    <n v="332.63999986648599"/>
    <n v="47949.290197372415"/>
    <n v="27471.419771194502"/>
    <n v="79.200000762938998"/>
    <n v="397"/>
    <n v="181.5705289672544"/>
    <n v="112.17350183386036"/>
    <n v="121.61695263788135"/>
    <n v="0.66980557544013397"/>
    <n v="1.0923454250020319"/>
    <n v="48337.520000000004"/>
    <n v="42377.61"/>
    <n v="2144.87"/>
    <n v="5.0613283759985514E-2"/>
    <n v="134"/>
    <n v="3.1620471281886826E-3"/>
    <n v="0"/>
    <n v="0"/>
    <n v="0"/>
    <n v="0"/>
    <n v="5959.91"/>
    <n v="1170.52"/>
    <n v="0.19639893891015134"/>
    <n v="1467.48"/>
    <n v="0.24622519467575854"/>
    <n v="0"/>
    <n v="0"/>
    <n v="0"/>
    <n v="0"/>
    <n v="21.033020577650323"/>
    <n v="20.055811010200223"/>
    <n v="32.182870342593148"/>
    <n v="7.4695370738006089E-3"/>
  </r>
  <r>
    <x v="3"/>
    <x v="2"/>
    <x v="26"/>
    <n v="79287.5"/>
    <n v="4626"/>
    <n v="74661.5"/>
    <n v="59940.060316372699"/>
    <n v="30156.5302651413"/>
    <n v="29783.530051231399"/>
    <n v="1244.35000133514"/>
    <n v="58695.710315037562"/>
    <n v="33132.9396688454"/>
    <n v="507"/>
    <n v="439"/>
    <n v="180.60933940774487"/>
    <n v="103.98077524181002"/>
    <n v="136.53772281633871"/>
    <n v="0.75598373408636543"/>
    <n v="1.3499037540562533"/>
    <n v="60635.72"/>
    <n v="50545.1"/>
    <n v="2477.08"/>
    <n v="4.9007322173662729E-2"/>
    <n v="1362.45"/>
    <n v="2.6955135116954958E-2"/>
    <n v="502.3"/>
    <n v="9.9376596346629053E-3"/>
    <n v="1781.57"/>
    <n v="3.5247135726311746E-2"/>
    <n v="10090.620000000001"/>
    <n v="1845.56"/>
    <n v="0.18289857313029326"/>
    <n v="2007.46"/>
    <n v="0.19894317693065439"/>
    <n v="343.22"/>
    <n v="3.4013767241259707E-2"/>
    <n v="5959.94"/>
    <n v="0.59064160576852553"/>
    <n v="21.424301542995455"/>
    <n v="18.880481255476155"/>
    <n v="65.899121979537043"/>
    <n v="2.7259945379509522E-2"/>
  </r>
  <r>
    <x v="3"/>
    <x v="2"/>
    <x v="27"/>
    <n v="103941"/>
    <n v="6161"/>
    <n v="97780"/>
    <n v="70853.880309671207"/>
    <n v="34782.200244665102"/>
    <n v="36071.680065006003"/>
    <n v="1189.96999549866"/>
    <n v="69663.910314172448"/>
    <n v="40024.369598388701"/>
    <n v="713.700000762939"/>
    <n v="634"/>
    <n v="163.94479495268138"/>
    <n v="99.689164670107829"/>
    <n v="111.75690900579039"/>
    <n v="0.68167402959054757"/>
    <n v="1.1425656805695528"/>
    <n v="97424.4"/>
    <n v="71792.11"/>
    <n v="2933.42"/>
    <n v="4.0859921793634429E-2"/>
    <n v="1176"/>
    <n v="1.6380630127739663E-2"/>
    <n v="284.83999999999997"/>
    <n v="3.9675669095113652E-3"/>
    <n v="3950.94"/>
    <n v="5.503306700415965E-2"/>
    <n v="25632.29"/>
    <n v="2751.04"/>
    <n v="0.10732712527831106"/>
    <n v="2420.96"/>
    <n v="9.4449618040370178E-2"/>
    <n v="1383.07"/>
    <n v="5.3958112989514397E-2"/>
    <n v="12967"/>
    <n v="0.50588535007991875"/>
    <n v="28.226775827061896"/>
    <n v="22.104844034748794"/>
    <n v="125.84039384682524"/>
    <n v="1.8827766180327096E-2"/>
  </r>
  <r>
    <x v="3"/>
    <x v="3"/>
    <x v="28"/>
    <n v="80656.8500013538"/>
    <n v="3923"/>
    <n v="76733.8500013538"/>
    <n v="67738.169914483995"/>
    <n v="36797.049913167997"/>
    <n v="30941.1200013161"/>
    <n v="545"/>
    <n v="67193.169914484097"/>
    <n v="37002.900112748102"/>
    <n v="248.5"/>
    <n v="393"/>
    <n v="205.23371501616742"/>
    <n v="110.44643737558701"/>
    <n v="172.36175550759313"/>
    <n v="0.83983158173604766"/>
    <n v="1.580435345185027"/>
    <n v="78118.92"/>
    <n v="55856.480000000003"/>
    <n v="2742.27"/>
    <n v="4.9094930436003124E-2"/>
    <n v="1182.8800000000001"/>
    <n v="2.1177131104573723E-2"/>
    <n v="524.44000000000005"/>
    <n v="9.3890628267302208E-3"/>
    <n v="2249.75"/>
    <n v="4.0277332191358997E-2"/>
    <n v="22262.44"/>
    <n v="2688.14"/>
    <n v="0.12074777068461498"/>
    <n v="1542.92"/>
    <n v="6.9305970055393754E-2"/>
    <n v="2862.94"/>
    <n v="0.12859956051537927"/>
    <n v="9294.5400000000009"/>
    <n v="0.41749871083313428"/>
    <n v="23.741204729036649"/>
    <n v="17.779611865415408"/>
    <n v="149.5796640537514"/>
    <n v="1.2556026982756079E-2"/>
  </r>
  <r>
    <x v="3"/>
    <x v="3"/>
    <x v="29"/>
    <n v="158395.86000133501"/>
    <n v="9983"/>
    <n v="148412.86000133501"/>
    <n v="119414.95982546"/>
    <n v="54882.489808026701"/>
    <n v="64532.470017433203"/>
    <n v="1234.46999168396"/>
    <n v="118180.48983377594"/>
    <n v="64530.310252245501"/>
    <n v="545.5"/>
    <n v="781"/>
    <n v="202.81160051387326"/>
    <n v="119.48789980677273"/>
    <n v="152.90007660110103"/>
    <n v="0.75390202638158244"/>
    <n v="1.296782407626168"/>
    <n v="140922.36000000002"/>
    <n v="95330.240000000005"/>
    <n v="5650.38"/>
    <n v="5.9271643499481379E-2"/>
    <n v="1536.26"/>
    <n v="1.6115138281409969E-2"/>
    <n v="764.16"/>
    <n v="8.0159244327927832E-3"/>
    <n v="4066.12"/>
    <n v="4.2652992376815579E-2"/>
    <n v="45592.12"/>
    <n v="4702.41"/>
    <n v="0.10314084977842661"/>
    <n v="4597.53"/>
    <n v="0.10084045225359117"/>
    <n v="4612.24"/>
    <n v="0.10116309572794596"/>
    <n v="22950.85"/>
    <n v="0.50339510424169787"/>
    <n v="25.464547132551132"/>
    <n v="18.297102118183343"/>
    <n v="140.74537970775881"/>
    <n v="1.3228346909405761E-2"/>
  </r>
  <r>
    <x v="3"/>
    <x v="3"/>
    <x v="30"/>
    <n v="142710.020005951"/>
    <n v="7497"/>
    <n v="135213.020005951"/>
    <n v="107436.88970303501"/>
    <n v="58963.3797237873"/>
    <n v="48473.509979248003"/>
    <n v="428.38000106811501"/>
    <n v="107008.50970196718"/>
    <n v="60449.530326843298"/>
    <n v="343.540000915527"/>
    <n v="671"/>
    <n v="212.6825931534292"/>
    <n v="122.0818922178721"/>
    <n v="160.11458972136407"/>
    <n v="0.7528335410404623"/>
    <n v="1.3184289542536369"/>
    <n v="113017.81999999999"/>
    <n v="86931.01"/>
    <n v="2136.52"/>
    <n v="2.457719057905804E-2"/>
    <n v="1195.69"/>
    <n v="1.3754470355285186E-2"/>
    <n v="2443.3200000000002"/>
    <n v="2.8106426003793126E-2"/>
    <n v="1309.3800000000001"/>
    <n v="1.506228904967284E-2"/>
    <n v="26086.81"/>
    <n v="4643.5600000000004"/>
    <n v="0.17800413312321439"/>
    <n v="2910.37"/>
    <n v="0.11156480995568258"/>
    <n v="2376.5500000000002"/>
    <n v="9.110159502062537E-2"/>
    <n v="7065"/>
    <n v="0.27082652114229372"/>
    <n v="22.7274457507344"/>
    <n v="18.276334205333722"/>
    <n v="120.62335080147966"/>
    <n v="5.2294427801693128E-3"/>
  </r>
  <r>
    <x v="3"/>
    <x v="3"/>
    <x v="31"/>
    <n v="215674.62000398501"/>
    <n v="11358"/>
    <n v="204316.62000398501"/>
    <n v="160697.01974919401"/>
    <n v="96503.719748496995"/>
    <n v="64193.300000697403"/>
    <n v="1549.4099969863901"/>
    <n v="159147.60975220799"/>
    <n v="72015.650257497997"/>
    <n v="504.51000213623001"/>
    <n v="1320"/>
    <n v="163.38986363938258"/>
    <n v="108.45034829117483"/>
    <n v="121.74016647666241"/>
    <n v="0.7450900794271722"/>
    <n v="1.1348254884687496"/>
    <n v="190004.76"/>
    <n v="139763.94"/>
    <n v="3298.13"/>
    <n v="2.3597860792991383E-2"/>
    <n v="2049.11"/>
    <n v="1.4661220912919314E-2"/>
    <n v="2122.81"/>
    <n v="1.5188538617328618E-2"/>
    <n v="4064.03"/>
    <n v="2.9077815064457974E-2"/>
    <n v="50240.82"/>
    <n v="5440.31"/>
    <n v="0.10828465777429588"/>
    <n v="5283.04"/>
    <n v="0.10515433466253138"/>
    <n v="5120.75"/>
    <n v="0.10192409279944077"/>
    <n v="18424.22"/>
    <n v="0.36671813875649323"/>
    <n v="28.177098148970281"/>
    <n v="21.872898089560987"/>
    <n v="142.15970698273964"/>
    <n v="1.0823344237779036E-2"/>
  </r>
  <r>
    <x v="3"/>
    <x v="3"/>
    <x v="32"/>
    <n v="23588.760002136201"/>
    <n v="1304"/>
    <n v="22284.760002136201"/>
    <n v="7129.9399890899704"/>
    <n v="1989.3999805450401"/>
    <n v="5140.5400085449201"/>
    <n v="0"/>
    <n v="7129.9399890899604"/>
    <n v="2143.0900192260701"/>
    <n v="0"/>
    <n v="100"/>
    <n v="235.887600021362"/>
    <n v="214.4566998291013"/>
    <n v="71.299399890899608"/>
    <n v="0.30226005896216129"/>
    <n v="0.33246524798580546"/>
    <n v="16117.39"/>
    <n v="15501.41"/>
    <n v="0"/>
    <n v="0"/>
    <n v="0"/>
    <n v="0"/>
    <n v="0"/>
    <n v="0"/>
    <n v="0"/>
    <n v="0"/>
    <n v="615.98"/>
    <n v="0"/>
    <n v="0"/>
    <n v="0"/>
    <n v="0"/>
    <n v="0"/>
    <n v="0"/>
    <n v="0"/>
    <n v="0"/>
    <n v="39.247273509001708"/>
    <n v="39.856623478937834"/>
    <n v="28.342638036809817"/>
    <n v="0"/>
  </r>
  <r>
    <x v="3"/>
    <x v="3"/>
    <x v="33"/>
    <n v="88428.880002269507"/>
    <n v="6892"/>
    <n v="81536.880002269507"/>
    <n v="64225.839843977199"/>
    <n v="32096.729845929902"/>
    <n v="32129.109998047399"/>
    <n v="708.15999794006302"/>
    <n v="63517.679846037237"/>
    <n v="34364.070143889599"/>
    <n v="208.56000137329099"/>
    <n v="409"/>
    <n v="216.2075305678961"/>
    <n v="131.67787251101862"/>
    <n v="157.03139326155818"/>
    <n v="0.72629937009638657"/>
    <n v="1.2084317614101607"/>
    <n v="66885.570000000007"/>
    <n v="54123.4"/>
    <n v="3358.41"/>
    <n v="6.2050979798017117E-2"/>
    <n v="1718.98"/>
    <n v="3.1760384602593332E-2"/>
    <n v="688"/>
    <n v="1.2711692170114959E-2"/>
    <n v="-146.19999999999999"/>
    <n v="-2.7012345861494287E-3"/>
    <n v="12762.17"/>
    <n v="1767.97"/>
    <n v="0.13853208349363783"/>
    <n v="2496.4699999999998"/>
    <n v="0.19561485233310635"/>
    <n v="1682.4"/>
    <n v="0.1318271109066875"/>
    <n v="2045.5"/>
    <n v="0.16027838525893323"/>
    <n v="21.403766716205048"/>
    <n v="18.502465586667501"/>
    <n v="65.484338654503986"/>
    <n v="1.3149077401792626E-2"/>
  </r>
  <r>
    <x v="3"/>
    <x v="3"/>
    <x v="34"/>
    <n v="65068.540000457302"/>
    <n v="3470"/>
    <n v="61598.540000457302"/>
    <n v="45771.589870480799"/>
    <n v="27758.809884099301"/>
    <n v="18012.779986381502"/>
    <n v="724.47000312805199"/>
    <n v="45047.119867352754"/>
    <n v="22492.440108271301"/>
    <n v="116"/>
    <n v="373"/>
    <n v="174.44648793688285"/>
    <n v="113.83404796832708"/>
    <n v="122.71203718627562"/>
    <n v="0.70343655889864942"/>
    <n v="1.0967029847674825"/>
    <n v="43755.22"/>
    <n v="38962.54"/>
    <n v="172.02"/>
    <n v="4.4150099043850843E-3"/>
    <n v="454.51"/>
    <n v="1.1665307241263018E-2"/>
    <n v="0"/>
    <n v="0"/>
    <n v="0"/>
    <n v="0"/>
    <n v="4792.68"/>
    <n v="882.82"/>
    <n v="0.18420174098834055"/>
    <n v="1112.3499999999999"/>
    <n v="0.23209352596042296"/>
    <n v="804.16"/>
    <n v="0.16778921188145254"/>
    <n v="0"/>
    <n v="0"/>
    <n v="21.357318432918778"/>
    <n v="19.867243072116924"/>
    <n v="54.724841410809439"/>
    <n v="1.7062371614000309E-2"/>
  </r>
  <r>
    <x v="3"/>
    <x v="3"/>
    <x v="35"/>
    <n v="68162.890001067906"/>
    <n v="4164"/>
    <n v="63998.890001067899"/>
    <n v="36201.889904022202"/>
    <n v="15901.5599040985"/>
    <n v="20300.329999923699"/>
    <n v="0"/>
    <n v="36201.889904022202"/>
    <n v="18243.960170745901"/>
    <n v="76.5"/>
    <n v="386"/>
    <n v="176.58779793022771"/>
    <n v="129.12546588166319"/>
    <n v="93.787279544098965"/>
    <n v="0.53110849471692057"/>
    <n v="0.72632674665468511"/>
    <n v="42416.520000000004"/>
    <n v="37333.19"/>
    <n v="0"/>
    <n v="0"/>
    <n v="0"/>
    <n v="0"/>
    <n v="0"/>
    <n v="0"/>
    <n v="0"/>
    <n v="0"/>
    <n v="5083.33"/>
    <n v="0"/>
    <n v="0"/>
    <n v="0"/>
    <n v="0"/>
    <n v="0"/>
    <n v="0"/>
    <n v="0"/>
    <n v="0"/>
    <n v="22.418131036114094"/>
    <n v="21.325373225828326"/>
    <n v="35.945763111373012"/>
    <n v="0"/>
  </r>
  <r>
    <x v="3"/>
    <x v="3"/>
    <x v="36"/>
    <n v="0"/>
    <n v="0"/>
    <n v="0"/>
    <n v="0"/>
    <n v="0"/>
    <n v="0"/>
    <n v="0"/>
    <n v="0"/>
    <n v="0"/>
    <n v="0"/>
    <n v="0"/>
    <s v="$0.00"/>
    <s v="$0.00"/>
    <s v="$0.00"/>
    <s v="0.00%"/>
    <s v="0.00%"/>
    <n v="0"/>
    <n v="0"/>
    <n v="0"/>
    <s v="0.00%"/>
    <n v="0"/>
    <s v="0.00%"/>
    <n v="0"/>
    <n v="0"/>
    <n v="0"/>
    <s v="0.00%"/>
    <n v="0"/>
    <n v="0"/>
    <s v="0.00%"/>
    <n v="0"/>
    <s v="0.00%"/>
    <n v="0"/>
    <n v="0"/>
    <n v="0"/>
    <s v="0.00%"/>
    <s v="0.00"/>
    <s v="0.00"/>
    <s v="0.00"/>
    <s v="0.00%"/>
  </r>
  <r>
    <x v="3"/>
    <x v="4"/>
    <x v="37"/>
    <n v="59845.770000705503"/>
    <n v="6496"/>
    <n v="53349.770000705503"/>
    <n v="39474.209953784899"/>
    <n v="19218.479950428002"/>
    <n v="20255.730003356901"/>
    <n v="58.5"/>
    <n v="39415.709953784899"/>
    <n v="21431.630075454701"/>
    <n v="158.289999961853"/>
    <n v="300"/>
    <n v="199.48590000235168"/>
    <n v="127.51949975096315"/>
    <n v="131.58069984594965"/>
    <n v="0.65959899844750181"/>
    <n v="1.0334279742179338"/>
    <n v="34827.01"/>
    <n v="31556.33"/>
    <n v="157.68"/>
    <n v="4.9967787762391887E-3"/>
    <n v="0"/>
    <n v="0"/>
    <n v="0"/>
    <n v="0"/>
    <n v="0"/>
    <n v="0"/>
    <n v="3270.68"/>
    <n v="279.89999999999998"/>
    <n v="8.5578534127459735E-2"/>
    <n v="0"/>
    <n v="0"/>
    <n v="0"/>
    <n v="0"/>
    <n v="0"/>
    <n v="0"/>
    <n v="19.263844337486756"/>
    <n v="19.358054279094006"/>
    <n v="18.399874984373046"/>
    <n v="1.5291778934266654E-3"/>
  </r>
  <r>
    <x v="3"/>
    <x v="4"/>
    <x v="38"/>
    <n v="152366.82000543599"/>
    <n v="6840"/>
    <n v="145526.82000543599"/>
    <n v="104549.329922438"/>
    <n v="56758.909912347801"/>
    <n v="47790.420010089903"/>
    <n v="1119.37999820709"/>
    <n v="103429.9499242306"/>
    <n v="60616.140203952797"/>
    <n v="368"/>
    <n v="726"/>
    <n v="209.87165290004958"/>
    <n v="125.87145978165731"/>
    <n v="144.00734149096101"/>
    <n v="0.68616861544204766"/>
    <n v="1.1582706387900421"/>
    <n v="128456.72"/>
    <n v="112407.27"/>
    <n v="4791.5600000000004"/>
    <n v="4.2626780278535364E-2"/>
    <n v="5108.96"/>
    <n v="4.5450441061329928E-2"/>
    <n v="4550.18"/>
    <n v="4.0479410273018816E-2"/>
    <n v="0"/>
    <n v="0"/>
    <n v="16049.45"/>
    <n v="1942.5"/>
    <n v="0.12103218490353251"/>
    <n v="2444.9"/>
    <n v="0.15233543828604718"/>
    <n v="3026.87"/>
    <n v="0.18859649396085224"/>
    <n v="594.6"/>
    <n v="3.7047998529544629E-2"/>
    <n v="24.901233397340615"/>
    <n v="22.987359814266949"/>
    <n v="59.732466297245885"/>
    <n v="1.2249367173722582E-2"/>
  </r>
  <r>
    <x v="3"/>
    <x v="4"/>
    <x v="39"/>
    <n v="0"/>
    <n v="0"/>
    <n v="0"/>
    <n v="0"/>
    <n v="0"/>
    <n v="0"/>
    <n v="0"/>
    <n v="0"/>
    <n v="0"/>
    <n v="0"/>
    <n v="0"/>
    <s v="$0.00"/>
    <s v="$0.00"/>
    <s v="$0.00"/>
    <s v="0.00%"/>
    <s v="0.00%"/>
    <n v="0"/>
    <n v="0"/>
    <n v="0"/>
    <s v="0.00%"/>
    <n v="0"/>
    <s v="0.00%"/>
    <n v="0"/>
    <n v="0"/>
    <n v="0"/>
    <s v="0.00%"/>
    <n v="0"/>
    <n v="0"/>
    <s v="0.00%"/>
    <n v="0"/>
    <s v="0.00%"/>
    <n v="0"/>
    <n v="0"/>
    <n v="0"/>
    <s v="0.00%"/>
    <s v="0.00"/>
    <s v="0.00"/>
    <s v="0.00"/>
    <s v="0.00%"/>
  </r>
  <r>
    <x v="3"/>
    <x v="4"/>
    <x v="40"/>
    <n v="234140.980006503"/>
    <n v="9456"/>
    <n v="224684.980006503"/>
    <n v="180585.89989931299"/>
    <n v="100229.95987493701"/>
    <n v="80355.940024375901"/>
    <n v="1658.88000488281"/>
    <n v="178927.01989443009"/>
    <n v="97084.950233191295"/>
    <n v="766.43000030517601"/>
    <n v="1213"/>
    <n v="193.02636439118137"/>
    <n v="112.35746065375641"/>
    <n v="148.8754327282052"/>
    <n v="0.77126994127340431"/>
    <n v="1.3413424529731286"/>
    <n v="200094.19"/>
    <n v="151559.81"/>
    <n v="8649.2900000000009"/>
    <n v="5.7068493289876787E-2"/>
    <n v="2182.8200000000002"/>
    <n v="1.4402366959948024E-2"/>
    <n v="1367.79"/>
    <n v="9.0247539898605043E-3"/>
    <n v="10251.68"/>
    <n v="6.7641151041295186E-2"/>
    <n v="48534.38"/>
    <n v="3185.64"/>
    <n v="6.5636771294904764E-2"/>
    <n v="4385.38"/>
    <n v="9.0356155780706382E-2"/>
    <n v="4911.1000000000004"/>
    <n v="0.10118806503760841"/>
    <n v="23059.73"/>
    <n v="0.47512155301046394"/>
    <n v="24.091616217556112"/>
    <n v="18.995188182899525"/>
    <n v="148.55947352310989"/>
    <n v="1.21717284931918E-2"/>
  </r>
  <r>
    <x v="3"/>
    <x v="4"/>
    <x v="41"/>
    <n v="0"/>
    <n v="0"/>
    <n v="0"/>
    <n v="218.920001983643"/>
    <n v="0"/>
    <n v="218.920001983643"/>
    <n v="0"/>
    <n v="218.920001983643"/>
    <n v="0"/>
    <n v="0"/>
    <n v="0"/>
    <s v="$0.00"/>
    <s v="$0.00"/>
    <s v="$0.00"/>
    <s v="0.00%"/>
    <s v="0.00%"/>
    <n v="776.33999999999992"/>
    <n v="543.55999999999995"/>
    <n v="0"/>
    <n v="0"/>
    <n v="0"/>
    <n v="0"/>
    <n v="0"/>
    <n v="0"/>
    <n v="543.55999999999995"/>
    <n v="1"/>
    <n v="232.78"/>
    <n v="0"/>
    <n v="0"/>
    <n v="0"/>
    <n v="0"/>
    <n v="0"/>
    <n v="0"/>
    <n v="232.78"/>
    <n v="1"/>
    <s v="0.00"/>
    <s v="0.00"/>
    <s v="0.00"/>
    <s v="0.00%"/>
  </r>
  <r>
    <x v="3"/>
    <x v="4"/>
    <x v="42"/>
    <n v="259863.48000338901"/>
    <n v="5549"/>
    <n v="254314.48000338901"/>
    <n v="183426.029757785"/>
    <n v="123536.259754924"/>
    <n v="59889.770002860598"/>
    <n v="1482.6800031662001"/>
    <n v="181943.34975461839"/>
    <n v="109389.50028659801"/>
    <n v="862.5"/>
    <n v="1202"/>
    <n v="216.19257903776125"/>
    <n v="124.46878512212231"/>
    <n v="152.60069031429666"/>
    <n v="0.70585535818804723"/>
    <n v="1.2382874235962176"/>
    <n v="314600.55"/>
    <n v="240249.87"/>
    <n v="9092.49"/>
    <n v="3.7845972611764575E-2"/>
    <n v="4860.8100000000004"/>
    <n v="2.0232310635589525E-2"/>
    <n v="6342.71"/>
    <n v="2.6400472141774729E-2"/>
    <n v="19503.88"/>
    <n v="8.1181646425032408E-2"/>
    <n v="74350.679999999993"/>
    <n v="7522.5"/>
    <n v="0.10117594082528904"/>
    <n v="5298.44"/>
    <n v="7.1262831758902537E-2"/>
    <n v="4790.9799999999996"/>
    <n v="6.4437608371571045E-2"/>
    <n v="38661.26"/>
    <n v="0.51998529132484073"/>
    <n v="34.718750349421981"/>
    <n v="27.355377458709484"/>
    <n v="266.62793162529385"/>
    <n v="9.9102021179982864E-3"/>
  </r>
  <r>
    <x v="3"/>
    <x v="4"/>
    <x v="43"/>
    <n v="0"/>
    <n v="0"/>
    <n v="0"/>
    <n v="0"/>
    <n v="0"/>
    <n v="0"/>
    <n v="0"/>
    <n v="0"/>
    <n v="0"/>
    <n v="0"/>
    <n v="0"/>
    <s v="$0.00"/>
    <s v="$0.00"/>
    <s v="$0.00"/>
    <s v="0.00%"/>
    <s v="0.00%"/>
    <n v="0"/>
    <n v="0"/>
    <n v="0"/>
    <s v="0.00%"/>
    <n v="0"/>
    <s v="0.00%"/>
    <n v="0"/>
    <n v="0"/>
    <n v="0"/>
    <s v="0.00%"/>
    <n v="0"/>
    <n v="0"/>
    <s v="0.00%"/>
    <n v="0"/>
    <s v="0.00%"/>
    <n v="0"/>
    <n v="0"/>
    <n v="0"/>
    <s v="0.00%"/>
    <s v="0.00"/>
    <s v="0.00"/>
    <s v="0.00"/>
    <s v="0.00%"/>
  </r>
  <r>
    <x v="3"/>
    <x v="4"/>
    <x v="44"/>
    <n v="170219.51000717099"/>
    <n v="8717"/>
    <n v="161502.51000717099"/>
    <n v="135035.189956797"/>
    <n v="74961.739975107805"/>
    <n v="60073.449981689497"/>
    <n v="406.62000226974499"/>
    <n v="134628.56995452754"/>
    <n v="66409.020061092495"/>
    <n v="655.040000915527"/>
    <n v="908"/>
    <n v="187.46642071274337"/>
    <n v="113.60732372815305"/>
    <n v="148.71716955594414"/>
    <n v="0.79330030941287832"/>
    <n v="1.3142260601103537"/>
    <n v="156220.82"/>
    <n v="122501.9"/>
    <n v="5258.86"/>
    <n v="4.2928803553251009E-2"/>
    <n v="2764.07"/>
    <n v="2.2563486770409279E-2"/>
    <n v="3355.36"/>
    <n v="2.7390269048888225E-2"/>
    <n v="8849.2900000000009"/>
    <n v="7.2237981614979047E-2"/>
    <n v="33718.92"/>
    <n v="3363.23"/>
    <n v="9.9743111582458757E-2"/>
    <n v="3497.59"/>
    <n v="0.10372781809144541"/>
    <n v="2863.87"/>
    <n v="8.4933621836049314E-2"/>
    <n v="17870.61"/>
    <n v="0.5299876152616988"/>
    <n v="26.344671555393901"/>
    <n v="21.734047707300235"/>
    <n v="114.89428690417597"/>
    <n v="3.941817930956654E-3"/>
  </r>
  <r>
    <x v="3"/>
    <x v="4"/>
    <x v="45"/>
    <n v="54688.670003414198"/>
    <n v="3709"/>
    <n v="50979.670003414198"/>
    <n v="37482.129926681497"/>
    <n v="20803.729938507098"/>
    <n v="16678.399988174398"/>
    <n v="221.72000122070301"/>
    <n v="37260.409925460794"/>
    <n v="20965.990108490001"/>
    <n v="198.43000030517601"/>
    <n v="300"/>
    <n v="182.29556667804732"/>
    <n v="111.74749964873006"/>
    <n v="124.94043308893832"/>
    <n v="0.68537285555383776"/>
    <n v="1.1255039796274373"/>
    <n v="41012.54"/>
    <n v="34039.97"/>
    <n v="1208.24"/>
    <n v="3.5494743385496519E-2"/>
    <n v="90"/>
    <n v="2.64395062627846E-3"/>
    <n v="0"/>
    <n v="0"/>
    <n v="0"/>
    <n v="0"/>
    <n v="6972.57"/>
    <n v="1763.6"/>
    <n v="0.25293399707711789"/>
    <n v="817.9"/>
    <n v="0.11730251542831409"/>
    <n v="0"/>
    <n v="0"/>
    <n v="0"/>
    <n v="0"/>
    <n v="24.032847349291334"/>
    <n v="21.530987683493162"/>
    <n v="55.538658288344095"/>
    <n v="6.6137199763652678E-3"/>
  </r>
  <r>
    <x v="3"/>
    <x v="4"/>
    <x v="46"/>
    <n v="0"/>
    <n v="0"/>
    <n v="0"/>
    <n v="276.68999886512802"/>
    <n v="109.779998779297"/>
    <n v="166.910000085831"/>
    <n v="0"/>
    <n v="276.68999886512802"/>
    <n v="140.22000122070301"/>
    <n v="0"/>
    <n v="0"/>
    <s v="$0.00"/>
    <s v="$0.00"/>
    <s v="$0.00"/>
    <s v="0.00%"/>
    <n v="-1.9732562862385403"/>
    <n v="1973.94"/>
    <n v="787"/>
    <n v="0"/>
    <n v="0"/>
    <n v="0"/>
    <n v="0"/>
    <n v="0"/>
    <n v="0"/>
    <n v="787"/>
    <n v="1"/>
    <n v="1186.94"/>
    <n v="0"/>
    <n v="0"/>
    <n v="0"/>
    <n v="0"/>
    <n v="0"/>
    <n v="0"/>
    <n v="1186.94"/>
    <n v="1"/>
    <s v="0.00"/>
    <s v="0.00"/>
    <s v="0.00"/>
    <n v="0"/>
  </r>
  <r>
    <x v="3"/>
    <x v="4"/>
    <x v="47"/>
    <n v="201762.90000781801"/>
    <n v="8976"/>
    <n v="192786.90000781801"/>
    <n v="147790.09985512501"/>
    <n v="81210.919904768496"/>
    <n v="66579.179950356498"/>
    <n v="1814.9200000762901"/>
    <n v="145975.17985504871"/>
    <n v="79643.360055357203"/>
    <n v="782"/>
    <n v="1023"/>
    <n v="197.22668622465105"/>
    <n v="118.60952097014741"/>
    <n v="144.46735078702346"/>
    <n v="0.73249393148789177"/>
    <n v="1.2365031816906433"/>
    <n v="237294.34"/>
    <n v="173618.68"/>
    <n v="11963.71"/>
    <n v="6.8907965433212592E-2"/>
    <n v="4680.5200000000004"/>
    <n v="2.6958619890440363E-2"/>
    <n v="2733.16"/>
    <n v="1.5742315285428965E-2"/>
    <n v="20266.009999999998"/>
    <n v="0.11672712867071676"/>
    <n v="63675.66"/>
    <n v="3504.31"/>
    <n v="5.5033744448035556E-2"/>
    <n v="5274.36"/>
    <n v="8.2831650272647342E-2"/>
    <n v="4856.26"/>
    <n v="7.626556206877165E-2"/>
    <n v="38728.85"/>
    <n v="0.60822062935821941"/>
    <n v="33.739846167864357"/>
    <n v="25.906776741156296"/>
    <n v="192.14784241408216"/>
    <n v="1.4957613289237304E-2"/>
  </r>
  <r>
    <x v="3"/>
    <x v="4"/>
    <x v="48"/>
    <n v="0"/>
    <n v="0"/>
    <n v="0"/>
    <n v="0"/>
    <n v="0"/>
    <n v="0"/>
    <n v="0"/>
    <n v="0"/>
    <n v="0"/>
    <n v="0"/>
    <n v="0"/>
    <s v="$0.00"/>
    <s v="$0.00"/>
    <s v="$0.00"/>
    <s v="0.00%"/>
    <s v="0.00%"/>
    <n v="0"/>
    <n v="0"/>
    <n v="0"/>
    <s v="0.00%"/>
    <n v="0"/>
    <s v="0.00%"/>
    <n v="0"/>
    <n v="0"/>
    <n v="0"/>
    <s v="0.00%"/>
    <n v="0"/>
    <n v="0"/>
    <s v="0.00%"/>
    <n v="0"/>
    <s v="0.00%"/>
    <n v="0"/>
    <n v="0"/>
    <n v="0"/>
    <s v="0.00%"/>
    <s v="0.00"/>
    <s v="0.00"/>
    <s v="0.00"/>
    <s v="0.00%"/>
  </r>
  <r>
    <x v="3"/>
    <x v="4"/>
    <x v="49"/>
    <n v="139770.72000484401"/>
    <n v="5021"/>
    <n v="134749.72000484401"/>
    <n v="101814.809968248"/>
    <n v="57335.219933882399"/>
    <n v="44479.590034365698"/>
    <n v="971"/>
    <n v="100843.8099682481"/>
    <n v="59419.920034751303"/>
    <n v="812.790000915527"/>
    <n v="731"/>
    <n v="191.20481532810399"/>
    <n v="108.80712718081695"/>
    <n v="139.28154578419714"/>
    <n v="0.72844162185556116"/>
    <n v="1.2958977312257562"/>
    <n v="182504.84999999998"/>
    <n v="133188.99"/>
    <n v="8179.35"/>
    <n v="6.141160767117463E-2"/>
    <n v="3601.51"/>
    <n v="2.7040598475895045E-2"/>
    <n v="1722.78"/>
    <n v="1.2934852948430648E-2"/>
    <n v="14876.53"/>
    <n v="0.11169489309889655"/>
    <n v="49315.86"/>
    <n v="3661.95"/>
    <n v="7.4255016540317853E-2"/>
    <n v="4168.83"/>
    <n v="8.4533251574645557E-2"/>
    <n v="5147.87"/>
    <n v="0.10438568849858848"/>
    <n v="26931.439999999999"/>
    <n v="0.54610099063465589"/>
    <n v="36.781443216590397"/>
    <n v="28.167971735852994"/>
    <n v="211.21287712953267"/>
    <n v="1.2207999676837337E-2"/>
  </r>
  <r>
    <x v="4"/>
    <x v="0"/>
    <x v="0"/>
    <n v="0"/>
    <n v="0"/>
    <n v="0"/>
    <n v="40"/>
    <n v="0"/>
    <n v="40"/>
    <n v="0"/>
    <n v="40"/>
    <n v="0"/>
    <n v="5169.5200002193496"/>
    <n v="0"/>
    <s v="$0.00"/>
    <s v="$0.00"/>
    <s v="$0.00"/>
    <s v="0.00%"/>
    <n v="-7.7376622971383697E-3"/>
    <n v="1102.05"/>
    <n v="-333.49"/>
    <n v="-333.49"/>
    <n v="0"/>
    <n v="0"/>
    <n v="0"/>
    <n v="0"/>
    <n v="0"/>
    <n v="-333.49"/>
    <n v="0"/>
    <n v="1435.54"/>
    <n v="0"/>
    <n v="0"/>
    <n v="0"/>
    <n v="0"/>
    <n v="0"/>
    <n v="0"/>
    <n v="1435.54"/>
    <n v="1"/>
    <s v="0.00"/>
    <s v="0.00"/>
    <s v="0.00"/>
    <n v="0"/>
  </r>
  <r>
    <x v="4"/>
    <x v="0"/>
    <x v="1"/>
    <n v="189706.36000350901"/>
    <n v="9769"/>
    <n v="179937.36000350901"/>
    <n v="121936.039993057"/>
    <n v="57749.599951515003"/>
    <n v="64186.440041542097"/>
    <n v="2601.44999837875"/>
    <n v="119334.58999467835"/>
    <n v="53724.990067968101"/>
    <n v="120003.790011114"/>
    <n v="1071"/>
    <n v="177.13012138516248"/>
    <n v="14.918375279576924"/>
    <n v="113.85251166485257"/>
    <n v="0.64276200329183297"/>
    <n v="9.1159431515093008"/>
    <n v="184071.72"/>
    <n v="139507.95000000001"/>
    <n v="28672.799999999999"/>
    <n v="0.2055280720561086"/>
    <n v="1603.17"/>
    <n v="1.1491603166701251E-2"/>
    <n v="2335.23"/>
    <n v="1.6739046054364642E-2"/>
    <n v="18983.64"/>
    <n v="0.13607568600929193"/>
    <n v="44563.77"/>
    <n v="4116.1499999999996"/>
    <n v="9.2365390091547456E-2"/>
    <n v="4960.1400000000003"/>
    <n v="0.11130431738607395"/>
    <n v="3557.28"/>
    <n v="7.9824485226451899E-2"/>
    <n v="23513.99"/>
    <n v="0.52764813210372474"/>
    <n v="30.69290186163564"/>
    <n v="24.446594613777926"/>
    <n v="153.36848686474701"/>
    <n v="0.16281877547685394"/>
  </r>
  <r>
    <x v="4"/>
    <x v="0"/>
    <x v="2"/>
    <n v="0"/>
    <n v="0"/>
    <n v="0"/>
    <n v="0"/>
    <n v="0"/>
    <n v="0"/>
    <n v="0"/>
    <n v="0"/>
    <n v="0"/>
    <n v="6524.7699970081403"/>
    <n v="0"/>
    <s v="$0.00"/>
    <s v="$0.00"/>
    <s v="$0.00"/>
    <s v="0.00%"/>
    <n v="0"/>
    <n v="1050.47"/>
    <n v="66"/>
    <n v="66"/>
    <n v="1"/>
    <n v="0"/>
    <n v="0"/>
    <n v="0"/>
    <n v="0"/>
    <n v="66"/>
    <n v="1"/>
    <n v="984.47"/>
    <n v="0"/>
    <n v="0"/>
    <n v="0"/>
    <n v="0"/>
    <n v="0"/>
    <n v="0"/>
    <n v="984.47"/>
    <n v="1"/>
    <s v="0.00"/>
    <s v="0.00"/>
    <s v="0.00"/>
    <n v="0"/>
  </r>
  <r>
    <x v="4"/>
    <x v="0"/>
    <x v="3"/>
    <n v="215371.85000903899"/>
    <n v="14433"/>
    <n v="200938.85000903899"/>
    <n v="126497.28001028299"/>
    <n v="57928.789924204299"/>
    <n v="68568.4900860786"/>
    <n v="2787.0299961566898"/>
    <n v="123710.25001412621"/>
    <n v="58388.000117480799"/>
    <n v="28637.649986300599"/>
    <n v="1035"/>
    <n v="208.08874397008597"/>
    <n v="124.00599024662567"/>
    <n v="122.21959421283373"/>
    <n v="0.58734361062030116"/>
    <n v="1.0074714582922233"/>
    <n v="205570.07"/>
    <n v="167719.18"/>
    <n v="33806.14"/>
    <n v="0.20156394754613038"/>
    <n v="3153.63"/>
    <n v="1.8803037315112084E-2"/>
    <n v="3321.84"/>
    <n v="1.9805963754413777E-2"/>
    <n v="22534.04"/>
    <n v="0.13435577254789824"/>
    <n v="37850.89"/>
    <n v="2297.48"/>
    <n v="6.0698176449747947E-2"/>
    <n v="3196.2"/>
    <n v="8.4441871776330751E-2"/>
    <n v="3170.35"/>
    <n v="8.3758928786086664E-2"/>
    <n v="20029.96"/>
    <n v="0.52918068769320881"/>
    <n v="31.389089528269956"/>
    <n v="27.375950417021532"/>
    <n v="89.571416175851908"/>
    <n v="2.1714939734982539E-2"/>
  </r>
  <r>
    <x v="4"/>
    <x v="0"/>
    <x v="4"/>
    <n v="0"/>
    <n v="0"/>
    <n v="0"/>
    <n v="0"/>
    <n v="0"/>
    <n v="0"/>
    <n v="0"/>
    <n v="0"/>
    <n v="0"/>
    <n v="2744.8700190782502"/>
    <n v="0"/>
    <s v="$0.00"/>
    <s v="$0.00"/>
    <s v="$0.00"/>
    <s v="0.00%"/>
    <n v="0"/>
    <n v="1240.03"/>
    <n v="1312"/>
    <n v="1312"/>
    <n v="1"/>
    <n v="0"/>
    <n v="0"/>
    <n v="0"/>
    <n v="0"/>
    <n v="1312"/>
    <n v="1"/>
    <n v="-71.97"/>
    <n v="0"/>
    <n v="0"/>
    <n v="0"/>
    <n v="0"/>
    <n v="0"/>
    <n v="0"/>
    <n v="-71.97"/>
    <n v="1"/>
    <s v="0.00"/>
    <s v="0.00"/>
    <s v="0.00"/>
    <n v="0"/>
  </r>
  <r>
    <x v="4"/>
    <x v="0"/>
    <x v="5"/>
    <n v="403126.440011898"/>
    <n v="20629.009999999798"/>
    <n v="382497.43001189799"/>
    <n v="260259.63997767301"/>
    <n v="128564.899768332"/>
    <n v="131694.74020934099"/>
    <n v="4977.9600009694695"/>
    <n v="255281.67997670354"/>
    <n v="124119.580173749"/>
    <n v="150487.85996121701"/>
    <n v="1907"/>
    <n v="211.39299423801666"/>
    <n v="67.39328782219809"/>
    <n v="136.47595174497798"/>
    <n v="0.64560300229871248"/>
    <n v="2.1066654468748118"/>
    <n v="377863.7"/>
    <n v="284118.33"/>
    <n v="40368.92"/>
    <n v="0.14208488413964701"/>
    <n v="3660.78"/>
    <n v="1.288470194795246E-2"/>
    <n v="2396.25"/>
    <n v="8.4339859381828679E-3"/>
    <n v="21351.65"/>
    <n v="7.5150554348253421E-2"/>
    <n v="93745.37"/>
    <n v="6941.45"/>
    <n v="7.4045790208092419E-2"/>
    <n v="9516.35"/>
    <n v="0.1015127467095175"/>
    <n v="7383.45"/>
    <n v="7.8760689727930031E-2"/>
    <n v="50893"/>
    <n v="0.54288547797080544"/>
    <n v="28.741064067807837"/>
    <n v="22.806614994681862"/>
    <n v="135.97012038966051"/>
    <n v="3.8733261274490893E-2"/>
  </r>
  <r>
    <x v="4"/>
    <x v="0"/>
    <x v="6"/>
    <n v="0"/>
    <n v="0"/>
    <n v="0"/>
    <n v="283.33000421524002"/>
    <n v="160.00000381469701"/>
    <n v="123.330000400543"/>
    <n v="13.0900001525879"/>
    <n v="270.24000406265213"/>
    <n v="81.699996948242202"/>
    <n v="4082.5600069165198"/>
    <n v="0"/>
    <s v="$0.00"/>
    <s v="$0.00"/>
    <s v="$0.00"/>
    <s v="0.00%"/>
    <n v="-6.7825296885049624E-2"/>
    <n v="9285.14"/>
    <n v="1174.0899999999999"/>
    <n v="1174.0899999999999"/>
    <n v="1"/>
    <n v="0"/>
    <n v="0"/>
    <n v="0"/>
    <n v="0"/>
    <n v="1174.0899999999999"/>
    <n v="1"/>
    <n v="8111.05"/>
    <n v="0"/>
    <n v="0"/>
    <n v="0"/>
    <n v="0"/>
    <n v="0"/>
    <n v="0"/>
    <n v="8111.05"/>
    <n v="1"/>
    <s v="0.00"/>
    <s v="0.00"/>
    <s v="0.00"/>
    <n v="-3.1434156705967796E-3"/>
  </r>
  <r>
    <x v="4"/>
    <x v="0"/>
    <x v="7"/>
    <n v="0"/>
    <n v="0"/>
    <n v="0"/>
    <n v="0"/>
    <n v="0"/>
    <n v="0"/>
    <n v="0"/>
    <n v="0"/>
    <n v="0"/>
    <n v="2720.6699908059099"/>
    <n v="0"/>
    <s v="$0.00"/>
    <s v="$0.00"/>
    <s v="$0.00"/>
    <s v="0.00%"/>
    <n v="0"/>
    <n v="0"/>
    <n v="0"/>
    <n v="0"/>
    <s v="0.00%"/>
    <n v="0"/>
    <s v="0.00%"/>
    <n v="0"/>
    <n v="0"/>
    <n v="0"/>
    <s v="0.00%"/>
    <n v="0"/>
    <n v="0"/>
    <s v="0.00%"/>
    <n v="0"/>
    <s v="0.00%"/>
    <n v="0"/>
    <n v="0"/>
    <n v="0"/>
    <s v="0.00%"/>
    <s v="0.00"/>
    <s v="0.00"/>
    <s v="0.00"/>
    <n v="0"/>
  </r>
  <r>
    <x v="4"/>
    <x v="0"/>
    <x v="8"/>
    <n v="271799.58001800103"/>
    <n v="12145"/>
    <n v="259654.580018001"/>
    <n v="159265.03996560001"/>
    <n v="83974.549894422307"/>
    <n v="75290.490071177497"/>
    <n v="3178.21000267006"/>
    <n v="156086.82996292974"/>
    <n v="82815.310081431599"/>
    <n v="139455.99003272899"/>
    <n v="1380"/>
    <n v="196.95621740434856"/>
    <n v="35.890057901333655"/>
    <n v="115.40944925043465"/>
    <n v="0.58596499654286383"/>
    <n v="3.4361337599962969"/>
    <n v="288452.39"/>
    <n v="221653.52"/>
    <n v="31123.200000000004"/>
    <n v="0.14041374123000622"/>
    <n v="3359.38"/>
    <n v="1.5155996620310835E-2"/>
    <n v="1244.31"/>
    <n v="5.6137615139159533E-3"/>
    <n v="17663.830000000002"/>
    <n v="7.9691177473743713E-2"/>
    <n v="66798.87"/>
    <n v="6065.4"/>
    <n v="9.0800937201482607E-2"/>
    <n v="8732.77"/>
    <n v="0.13073230130988744"/>
    <n v="8358.44"/>
    <n v="0.12512846399946587"/>
    <n v="28425.08"/>
    <n v="0.42553234807714568"/>
    <n v="32.225517866424397"/>
    <n v="25.902644219629337"/>
    <n v="169.59284053348836"/>
    <n v="6.4169601868681495E-2"/>
  </r>
  <r>
    <x v="4"/>
    <x v="0"/>
    <x v="9"/>
    <n v="0"/>
    <n v="0"/>
    <n v="0"/>
    <n v="0"/>
    <n v="0"/>
    <n v="0"/>
    <n v="0"/>
    <n v="0"/>
    <n v="0"/>
    <n v="192.579999923706"/>
    <n v="0"/>
    <s v="$0.00"/>
    <s v="$0.00"/>
    <s v="$0.00"/>
    <s v="0.00%"/>
    <n v="0"/>
    <n v="0"/>
    <n v="0"/>
    <n v="0"/>
    <s v="0.00%"/>
    <n v="0"/>
    <s v="0.00%"/>
    <n v="0"/>
    <n v="0"/>
    <n v="0"/>
    <s v="0.00%"/>
    <n v="0"/>
    <n v="0"/>
    <s v="0.00%"/>
    <n v="0"/>
    <s v="0.00%"/>
    <n v="0"/>
    <n v="0"/>
    <n v="0"/>
    <s v="0.00%"/>
    <s v="0.00"/>
    <s v="0.00"/>
    <s v="0.00"/>
    <n v="0"/>
  </r>
  <r>
    <x v="4"/>
    <x v="0"/>
    <x v="10"/>
    <n v="299510.07001863199"/>
    <n v="15072"/>
    <n v="284438.07001863199"/>
    <n v="165351.229937881"/>
    <n v="87901.389864563898"/>
    <n v="77449.840073317304"/>
    <n v="2667.5100109577202"/>
    <n v="162683.71992692348"/>
    <n v="77730.680229364007"/>
    <n v="154744.43005336399"/>
    <n v="1595"/>
    <n v="187.78060816215171"/>
    <n v="42.02818792219685"/>
    <n v="103.66848271967473"/>
    <n v="0.5520723557895566"/>
    <n v="2.5688640864980186"/>
    <n v="320214.17000000004"/>
    <n v="243463.73"/>
    <n v="43139.45"/>
    <n v="0.17719045871843003"/>
    <n v="6568.18"/>
    <n v="2.6978063631901146E-2"/>
    <n v="2870.02"/>
    <n v="1.1788285671956146E-2"/>
    <n v="26022.81"/>
    <n v="0.10688577719564224"/>
    <n v="76750.44"/>
    <n v="7303.42"/>
    <n v="9.5158021243917298E-2"/>
    <n v="8877.98"/>
    <n v="0.11567334337106079"/>
    <n v="6153.89"/>
    <n v="8.0180517531886458E-2"/>
    <n v="37715.06"/>
    <n v="0.49139861608610969"/>
    <n v="34.338240602916201"/>
    <n v="27.553356884422691"/>
    <n v="156.88613413886304"/>
    <n v="3.9792818873418366E-2"/>
  </r>
  <r>
    <x v="4"/>
    <x v="0"/>
    <x v="11"/>
    <n v="0"/>
    <n v="0"/>
    <n v="0"/>
    <n v="0"/>
    <n v="0"/>
    <n v="0"/>
    <n v="0"/>
    <n v="0"/>
    <n v="0"/>
    <n v="4368.88000172377"/>
    <n v="0"/>
    <s v="$0.00"/>
    <s v="$0.00"/>
    <s v="$0.00"/>
    <s v="0.00%"/>
    <n v="0"/>
    <n v="157"/>
    <n v="157"/>
    <n v="157"/>
    <n v="1"/>
    <n v="0"/>
    <n v="0"/>
    <n v="0"/>
    <n v="0"/>
    <n v="157"/>
    <n v="1"/>
    <n v="0"/>
    <n v="0"/>
    <s v="0.00%"/>
    <n v="0"/>
    <s v="0.00%"/>
    <n v="0"/>
    <n v="0"/>
    <n v="0"/>
    <s v="0.00%"/>
    <s v="0.00"/>
    <s v="0.00"/>
    <s v="0.00"/>
    <n v="0"/>
  </r>
  <r>
    <x v="4"/>
    <x v="0"/>
    <x v="12"/>
    <n v="304630.590014569"/>
    <n v="18537"/>
    <n v="286093.590014569"/>
    <n v="174990.990021765"/>
    <n v="85491.759952127904"/>
    <n v="89499.230069637299"/>
    <n v="3138.0699961185501"/>
    <n v="171852.92002564666"/>
    <n v="82933.880011348097"/>
    <n v="185288.67999422201"/>
    <n v="1607"/>
    <n v="189.56477287776539"/>
    <n v="22.655899196639002"/>
    <n v="108.89296205461432"/>
    <n v="0.57443669729095903"/>
    <n v="5.259729496338986"/>
    <n v="351862.55000000005"/>
    <n v="260340.14"/>
    <n v="48932.25"/>
    <n v="0.18795507292882302"/>
    <n v="4139.3999999999996"/>
    <n v="1.589996840287479E-2"/>
    <n v="3605.77"/>
    <n v="1.385022686090589E-2"/>
    <n v="31589.68"/>
    <n v="0.12134002847198284"/>
    <n v="91522.41"/>
    <n v="8375.76"/>
    <n v="9.1515946750091046E-2"/>
    <n v="11586.56"/>
    <n v="0.12659806488924405"/>
    <n v="10253.31"/>
    <n v="0.11203059447407471"/>
    <n v="40957.519999999997"/>
    <n v="0.44751356525685887"/>
    <n v="36.836700441500426"/>
    <n v="29.148678194464615"/>
    <n v="147.49781403924953"/>
    <n v="8.6191699889912252E-2"/>
  </r>
  <r>
    <x v="4"/>
    <x v="0"/>
    <x v="13"/>
    <n v="189447.71001255099"/>
    <n v="8959"/>
    <n v="180488.71001255099"/>
    <n v="117960.089920044"/>
    <n v="67159.879807949095"/>
    <n v="50800.210112094901"/>
    <n v="2676.4599925279599"/>
    <n v="115283.62992751604"/>
    <n v="57443.4200849626"/>
    <n v="29460.779985941899"/>
    <n v="957"/>
    <n v="197.95998956379412"/>
    <n v="107.15100307382079"/>
    <n v="123.26028204811286"/>
    <n v="0.62265249821298496"/>
    <n v="1.1811712670009151"/>
    <n v="224129.25"/>
    <n v="158862.6"/>
    <n v="26760.86"/>
    <n v="0.16845286429908612"/>
    <n v="3287.13"/>
    <n v="2.0691654297487261E-2"/>
    <n v="2149.7600000000002"/>
    <n v="1.3532197005462583E-2"/>
    <n v="13477.23"/>
    <n v="8.48357637354544E-2"/>
    <n v="65266.65"/>
    <n v="5786.56"/>
    <n v="8.8660288217642547E-2"/>
    <n v="3940.41"/>
    <n v="6.037401950306933E-2"/>
    <n v="4251.3900000000003"/>
    <n v="6.5138780678953193E-2"/>
    <n v="34887.839999999997"/>
    <n v="0.5345431395666852"/>
    <n v="35.062485782069999"/>
    <n v="26.160736277125"/>
    <n v="204.13548218940053"/>
    <n v="2.6100725380387591E-2"/>
  </r>
  <r>
    <x v="4"/>
    <x v="0"/>
    <x v="14"/>
    <n v="0"/>
    <n v="0"/>
    <n v="0"/>
    <n v="378.61999893188499"/>
    <n v="119.76000022888201"/>
    <n v="258.85999870300299"/>
    <n v="69.340000152587905"/>
    <n v="309.2799987792971"/>
    <n v="96.549999237060504"/>
    <n v="9023.2800128739309"/>
    <n v="0"/>
    <s v="$0.00"/>
    <s v="$0.00"/>
    <s v="$0.00"/>
    <s v="0.00%"/>
    <n v="-4.1202850575905177E-2"/>
    <n v="12917.84"/>
    <n v="1855.02"/>
    <n v="1855.02"/>
    <n v="1"/>
    <n v="0"/>
    <n v="0"/>
    <n v="0"/>
    <n v="0"/>
    <n v="1855.02"/>
    <n v="1"/>
    <n v="11062.82"/>
    <n v="0"/>
    <n v="0"/>
    <n v="0"/>
    <n v="0"/>
    <n v="0"/>
    <n v="0"/>
    <n v="11062.82"/>
    <n v="1"/>
    <s v="0.00"/>
    <s v="0.00"/>
    <s v="0.00"/>
    <n v="-7.6032119086107382E-3"/>
  </r>
  <r>
    <x v="4"/>
    <x v="0"/>
    <x v="15"/>
    <n v="0"/>
    <n v="0"/>
    <n v="0"/>
    <n v="0"/>
    <n v="0"/>
    <n v="0"/>
    <n v="0"/>
    <n v="0"/>
    <n v="0"/>
    <n v="538.66000366210903"/>
    <n v="0"/>
    <s v="$0.00"/>
    <s v="$0.00"/>
    <s v="$0.00"/>
    <s v="0.00%"/>
    <n v="0"/>
    <n v="0"/>
    <n v="0"/>
    <n v="0"/>
    <s v="0.00%"/>
    <n v="0"/>
    <s v="0.00%"/>
    <n v="0"/>
    <n v="0"/>
    <n v="0"/>
    <s v="0.00%"/>
    <n v="0"/>
    <n v="0"/>
    <s v="0.00%"/>
    <n v="0"/>
    <s v="0.00%"/>
    <n v="0"/>
    <n v="0"/>
    <n v="0"/>
    <s v="0.00%"/>
    <s v="0.00"/>
    <s v="0.00"/>
    <s v="0.00"/>
    <n v="0"/>
  </r>
  <r>
    <x v="4"/>
    <x v="0"/>
    <x v="16"/>
    <n v="150779.86000516801"/>
    <n v="9712"/>
    <n v="141067.86000516801"/>
    <n v="107851.410034776"/>
    <n v="53633.499953270002"/>
    <n v="54217.910081505797"/>
    <n v="2368.0699987411499"/>
    <n v="105483.34003603464"/>
    <n v="50938.490085601799"/>
    <n v="104451.879955778"/>
    <n v="805"/>
    <n v="187.30417391946338"/>
    <n v="-5.7273416598904294"/>
    <n v="133.97690687549789"/>
    <n v="0.71529055691575227"/>
    <n v="-15.454635397830327"/>
    <n v="133615.78"/>
    <n v="104277.38"/>
    <n v="24789.57"/>
    <n v="0.23772720411655912"/>
    <n v="3127"/>
    <n v="2.9987328028379692E-2"/>
    <n v="1700"/>
    <n v="1.6302672736886945E-2"/>
    <n v="15988.95"/>
    <n v="0.15333095250379325"/>
    <n v="29338.400000000001"/>
    <n v="3622.52"/>
    <n v="0.12347367272925584"/>
    <n v="1981.06"/>
    <n v="6.7524473045564845E-2"/>
    <n v="2351.08"/>
    <n v="8.0136612766885718E-2"/>
    <n v="15902.97"/>
    <n v="0.54205307719575702"/>
    <n v="24.937082878972198"/>
    <n v="20.661468028614273"/>
    <n v="94.285163363685058"/>
    <n v="-0.51362430189759734"/>
  </r>
  <r>
    <x v="4"/>
    <x v="1"/>
    <x v="17"/>
    <n v="619471.10415528703"/>
    <n v="20504"/>
    <n v="598967.10415528703"/>
    <n v="428059.31056686724"/>
    <n v="285240.00040622952"/>
    <n v="142819.3101606369"/>
    <n v="8706.01002037525"/>
    <n v="419353.30054649117"/>
    <n v="187227.37893085933"/>
    <n v="14476.71005868911"/>
    <n v="3119"/>
    <n v="198.61208853968805"/>
    <n v="133.94261467320891"/>
    <n v="137.24248495250606"/>
    <n v="0.69100771237839997"/>
    <n v="1.0464436971076034"/>
    <n v="649372.02"/>
    <n v="578244.28"/>
    <n v="91697.37"/>
    <n v="0.15857894867546288"/>
    <n v="26129.17"/>
    <n v="4.5187079066307402E-2"/>
    <n v="20666"/>
    <n v="3.5739220801284881E-2"/>
    <n v="18777.22"/>
    <n v="3.2472815814105417E-2"/>
    <n v="71127.739999999991"/>
    <n v="8388.26"/>
    <n v="0.11793232851205453"/>
    <n v="9380.9700000000012"/>
    <n v="0.13188904919515229"/>
    <n v="9314.02"/>
    <n v="0.13094778492891807"/>
    <n v="18613.34"/>
    <n v="0.26168889943642243"/>
    <n v="34.787359711388191"/>
    <n v="31.899170350753348"/>
    <n v="131.80482210508976"/>
    <n v="2.0839390627623768E-2"/>
  </r>
  <r>
    <x v="4"/>
    <x v="2"/>
    <x v="18"/>
    <n v="0"/>
    <n v="0"/>
    <n v="0"/>
    <n v="0"/>
    <n v="0"/>
    <n v="0"/>
    <n v="0"/>
    <n v="0"/>
    <n v="0"/>
    <n v="1849.31999826431"/>
    <n v="0"/>
    <s v="$0.00"/>
    <s v="$0.00"/>
    <s v="$0.00"/>
    <s v="0.00%"/>
    <n v="0"/>
    <n v="-65.509999999999991"/>
    <n v="-125.21"/>
    <n v="-125.21"/>
    <n v="0"/>
    <n v="0"/>
    <n v="0"/>
    <n v="0"/>
    <n v="0"/>
    <n v="-125.21"/>
    <n v="0"/>
    <n v="59.7"/>
    <n v="0"/>
    <n v="0"/>
    <n v="0"/>
    <n v="0"/>
    <n v="0"/>
    <n v="0"/>
    <n v="59.7"/>
    <n v="1"/>
    <s v="0.00"/>
    <s v="0.00"/>
    <s v="0.00"/>
    <n v="0"/>
  </r>
  <r>
    <x v="4"/>
    <x v="2"/>
    <x v="19"/>
    <n v="118685.260009766"/>
    <n v="7439"/>
    <n v="111246.260009766"/>
    <n v="67325.420369386702"/>
    <n v="35233.780218839602"/>
    <n v="32091.640150546998"/>
    <n v="1848.73999595642"/>
    <n v="65476.680373430179"/>
    <n v="32833.149790763899"/>
    <n v="47741.910032888904"/>
    <n v="965"/>
    <n v="122.98990674587151"/>
    <n v="39.492435426024045"/>
    <n v="69.767274994183012"/>
    <n v="0.56726016662765655"/>
    <n v="1.856666003418753"/>
    <n v="109415.97"/>
    <n v="83853.990000000005"/>
    <n v="12420.24"/>
    <n v="0.14811745988473535"/>
    <n v="925.32"/>
    <n v="1.1034895298363262E-2"/>
    <n v="837.18"/>
    <n v="9.983782524838709E-3"/>
    <n v="7300.74"/>
    <n v="8.7064908897000595E-2"/>
    <n v="25561.98"/>
    <n v="1766.87"/>
    <n v="6.9121014882258733E-2"/>
    <n v="3935.08"/>
    <n v="0.15394269145034931"/>
    <n v="2798.99"/>
    <n v="0.10949816876470445"/>
    <n v="14063.43"/>
    <n v="0.55016982252548519"/>
    <n v="30.958253891246077"/>
    <n v="25.475006515502638"/>
    <n v="105.32818423221316"/>
    <n v="4.8510372208175223E-2"/>
  </r>
  <r>
    <x v="4"/>
    <x v="2"/>
    <x v="20"/>
    <n v="0"/>
    <n v="0"/>
    <n v="0"/>
    <n v="5"/>
    <n v="0"/>
    <n v="5"/>
    <n v="101.48999786377"/>
    <n v="-96.48999786377"/>
    <n v="0"/>
    <n v="6034.5599908828699"/>
    <n v="0"/>
    <s v="$0.00"/>
    <s v="$0.00"/>
    <s v="$0.00"/>
    <s v="0.00%"/>
    <n v="-8.1485646452846255E-4"/>
    <n v="752.6"/>
    <n v="177.08"/>
    <n v="177.08"/>
    <n v="1"/>
    <n v="0"/>
    <n v="0"/>
    <n v="0"/>
    <n v="0"/>
    <n v="177.08"/>
    <n v="1"/>
    <n v="575.52"/>
    <n v="0"/>
    <n v="0"/>
    <n v="0"/>
    <n v="0"/>
    <n v="0"/>
    <n v="0"/>
    <n v="575.52"/>
    <n v="1"/>
    <s v="0.00"/>
    <s v="0.00"/>
    <s v="0.00"/>
    <n v="-1.6818127256519624E-2"/>
  </r>
  <r>
    <x v="4"/>
    <x v="2"/>
    <x v="21"/>
    <n v="216669"/>
    <n v="10919"/>
    <n v="205750"/>
    <n v="136602.670899808"/>
    <n v="64170.510586202101"/>
    <n v="72432.160313606306"/>
    <n v="6407.0899944305402"/>
    <n v="130195.58090537786"/>
    <n v="70744.429287642197"/>
    <n v="72458.340050101295"/>
    <n v="1103"/>
    <n v="196.43608340888485"/>
    <n v="66.605830156170924"/>
    <n v="123.84648313672567"/>
    <n v="0.63046707604598906"/>
    <n v="2.0370477393449273"/>
    <n v="170898.07"/>
    <n v="136423.94"/>
    <n v="21722.300000000003"/>
    <n v="0.15922645248333983"/>
    <n v="2944.22"/>
    <n v="2.1581402794846709E-2"/>
    <n v="3611.96"/>
    <n v="2.6475998274203192E-2"/>
    <n v="7770.26"/>
    <n v="5.6956718886729117E-2"/>
    <n v="34474.129999999997"/>
    <n v="5898.42"/>
    <n v="0.17109699360070871"/>
    <n v="4807.0200000000004"/>
    <n v="0.13943847168877072"/>
    <n v="4360.3999999999996"/>
    <n v="0.12648324990362339"/>
    <n v="17475.939999999999"/>
    <n v="0.5069291088709128"/>
    <n v="24.54842940603762"/>
    <n v="20.76431644195447"/>
    <n v="88.044032349602716"/>
    <n v="8.7211361419719607E-2"/>
  </r>
  <r>
    <x v="4"/>
    <x v="2"/>
    <x v="22"/>
    <n v="0"/>
    <n v="0"/>
    <n v="0"/>
    <n v="297.790000915527"/>
    <n v="0"/>
    <n v="297.790000915527"/>
    <n v="110.790000915527"/>
    <n v="187"/>
    <n v="0"/>
    <n v="9023.4799674749393"/>
    <n v="0"/>
    <s v="$0.00"/>
    <s v="$0.00"/>
    <s v="$0.00"/>
    <s v="0.00%"/>
    <n v="-3.2601401310235201E-2"/>
    <n v="3141.31"/>
    <n v="1521.12"/>
    <n v="1521.12"/>
    <n v="1"/>
    <n v="0"/>
    <n v="0"/>
    <n v="0"/>
    <n v="0"/>
    <n v="1521.12"/>
    <n v="1"/>
    <n v="1620.19"/>
    <n v="0"/>
    <n v="0"/>
    <n v="0"/>
    <n v="0"/>
    <n v="0"/>
    <n v="0"/>
    <n v="1620.19"/>
    <n v="1"/>
    <s v="0.00"/>
    <s v="0.00"/>
    <s v="0.00"/>
    <n v="-1.2277968291043884E-2"/>
  </r>
  <r>
    <x v="4"/>
    <x v="2"/>
    <x v="23"/>
    <n v="140562"/>
    <n v="6411"/>
    <n v="134151"/>
    <n v="77773.110478222399"/>
    <n v="39557.6902694702"/>
    <n v="38215.420208752199"/>
    <n v="3482.4400062560999"/>
    <n v="74290.670471966296"/>
    <n v="46513.439599990801"/>
    <n v="52045.669966269299"/>
    <n v="729"/>
    <n v="192.81481481481481"/>
    <n v="57.617133653964196"/>
    <n v="106.68465086175912"/>
    <n v="0.55330110896417528"/>
    <n v="2.019008334926748"/>
    <n v="118284.76999999999"/>
    <n v="93593.09"/>
    <n v="17517.080000000002"/>
    <n v="0.18716210780090711"/>
    <n v="3256.14"/>
    <n v="3.4790388905847645E-2"/>
    <n v="1712.93"/>
    <n v="1.8301885320807339E-2"/>
    <n v="8585.5"/>
    <n v="9.1732199460451622E-2"/>
    <n v="24691.68"/>
    <n v="4255.29"/>
    <n v="0.17233699772554967"/>
    <n v="2599.36"/>
    <n v="0.10527270724389755"/>
    <n v="4374.75"/>
    <n v="0.17717506463715713"/>
    <n v="8270.73"/>
    <n v="0.33496019711902952"/>
    <n v="27.298833784344549"/>
    <n v="22.656312867450524"/>
    <n v="122.25621389668262"/>
    <n v="8.29095324225292E-2"/>
  </r>
  <r>
    <x v="4"/>
    <x v="2"/>
    <x v="24"/>
    <n v="104301.02999877901"/>
    <n v="7527"/>
    <n v="96774.029998779297"/>
    <n v="59709.070362091101"/>
    <n v="29690.150233268701"/>
    <n v="30018.920128822301"/>
    <n v="2436.2700014114398"/>
    <n v="57272.800360679568"/>
    <n v="30526.309741973899"/>
    <n v="8936.38001056947"/>
    <n v="520"/>
    <n v="200.57890384380633"/>
    <n v="124.68911585814601"/>
    <n v="114.82513531171347"/>
    <n v="0.57246865503427746"/>
    <n v="0.95684438237116287"/>
    <n v="88087.97"/>
    <n v="68605.13"/>
    <n v="8072.0300000000007"/>
    <n v="0.11765927708321521"/>
    <n v="860.5"/>
    <n v="1.2542793811483193E-2"/>
    <n v="1241"/>
    <n v="1.8089026287101271E-2"/>
    <n v="3603.17"/>
    <n v="5.2520416476143986E-2"/>
    <n v="19482.84"/>
    <n v="1584.09"/>
    <n v="8.1306934717936388E-2"/>
    <n v="1701"/>
    <n v="8.7307599918697687E-2"/>
    <n v="572.45000000000005"/>
    <n v="2.9382266651063194E-2"/>
    <n v="11055.93"/>
    <n v="0.56747014295657106"/>
    <n v="27.554036260188887"/>
    <n v="23.30411704732289"/>
    <n v="77.00389091388169"/>
    <n v="3.7574527542797241E-2"/>
  </r>
  <r>
    <x v="4"/>
    <x v="2"/>
    <x v="25"/>
    <n v="94395"/>
    <n v="7254"/>
    <n v="87141"/>
    <n v="53427.730308413498"/>
    <n v="26113.5901697874"/>
    <n v="27314.140138626099"/>
    <n v="1394.3199877739"/>
    <n v="52033.410320639596"/>
    <n v="28954.139810562101"/>
    <n v="99.090000152587905"/>
    <n v="480"/>
    <n v="196.65625"/>
    <n v="136.12868789434438"/>
    <n v="111.30777147586146"/>
    <n v="0.56600169827229729"/>
    <n v="0.83549430258832635"/>
    <n v="58289.1"/>
    <n v="53084.43"/>
    <n v="4494.3099999999995"/>
    <n v="8.4663431443080375E-2"/>
    <n v="1816.19"/>
    <n v="3.4213233522522521E-2"/>
    <n v="134"/>
    <n v="2.5242806600730195E-3"/>
    <n v="0"/>
    <n v="0"/>
    <n v="5204.67"/>
    <n v="1769.09"/>
    <n v="0.33990435512722228"/>
    <n v="1369.51"/>
    <n v="0.26313099581721799"/>
    <n v="828.69"/>
    <n v="0.1592204693092934"/>
    <n v="0"/>
    <n v="0"/>
    <n v="21.971513612761033"/>
    <n v="21.762893718600345"/>
    <n v="24.352498050428906"/>
    <n v="2.1338876858321473E-2"/>
  </r>
  <r>
    <x v="4"/>
    <x v="2"/>
    <x v="26"/>
    <n v="102932.659999847"/>
    <n v="4977"/>
    <n v="97955.659999847398"/>
    <n v="61021.090384360403"/>
    <n v="29837.540247496199"/>
    <n v="31183.5501368642"/>
    <n v="2287.7099974453399"/>
    <n v="58733.380386915065"/>
    <n v="33214.749724093803"/>
    <n v="808.78999829292297"/>
    <n v="517"/>
    <n v="199.09605415831217"/>
    <n v="133.28649956955641"/>
    <n v="118.02918836433346"/>
    <n v="0.5928253518800628"/>
    <n v="0.91593813652223355"/>
    <n v="70507.97"/>
    <n v="59332.66"/>
    <n v="7207.24"/>
    <n v="0.12147171557789588"/>
    <n v="1679.87"/>
    <n v="2.8312737032184294E-2"/>
    <n v="1149.24"/>
    <n v="1.9369433293568838E-2"/>
    <n v="2226.39"/>
    <n v="3.7523852798778949E-2"/>
    <n v="11175.31"/>
    <n v="1120.6099999999999"/>
    <n v="0.1002755180840621"/>
    <n v="2169.21"/>
    <n v="0.19410736704395673"/>
    <n v="1300.6199999999999"/>
    <n v="0.11638334864983611"/>
    <n v="5193.72"/>
    <n v="0.46474952372685863"/>
    <n v="23.487807153046628"/>
    <n v="20.984331128656319"/>
    <n v="64.070448464772582"/>
    <n v="3.3198943597508593E-2"/>
  </r>
  <r>
    <x v="4"/>
    <x v="2"/>
    <x v="27"/>
    <n v="121471.07000305101"/>
    <n v="6033"/>
    <n v="115438.07000305101"/>
    <n v="73367.570467719794"/>
    <n v="38570.500299930602"/>
    <n v="34797.070167789199"/>
    <n v="2529.8299999237101"/>
    <n v="70837.740467796102"/>
    <n v="39899.709648609198"/>
    <n v="6458.9900068491697"/>
    <n v="687"/>
    <n v="176.81378457503786"/>
    <n v="109.33387241279858"/>
    <n v="106.79413459638982"/>
    <n v="0.60399213134351271"/>
    <n v="1.0108156881295502"/>
    <n v="100039.41"/>
    <n v="77333.119999999995"/>
    <n v="10338.64"/>
    <n v="0.13368967914394247"/>
    <n v="2194.81"/>
    <n v="2.8381242086185067E-2"/>
    <n v="809"/>
    <n v="1.0461235755133119E-2"/>
    <n v="3728.1"/>
    <n v="4.8208322643648674E-2"/>
    <n v="22706.29"/>
    <n v="3076.84"/>
    <n v="0.13550606461909895"/>
    <n v="2578.67"/>
    <n v="0.11356632897756525"/>
    <n v="1540.99"/>
    <n v="6.7866216806003979E-2"/>
    <n v="11989.83"/>
    <n v="0.52804002767515079"/>
    <n v="26.669939951162377"/>
    <n v="21.892820069219891"/>
    <n v="103.83974085365854"/>
    <n v="3.3680603983293034E-2"/>
  </r>
  <r>
    <x v="4"/>
    <x v="3"/>
    <x v="28"/>
    <n v="109801.640000343"/>
    <n v="5131"/>
    <n v="104670.640000343"/>
    <n v="60867.390100956"/>
    <n v="26044.690041542101"/>
    <n v="34822.700059413903"/>
    <n v="2157.6300067901602"/>
    <n v="58709.760094165846"/>
    <n v="29732.190017700199"/>
    <n v="3038.11000537872"/>
    <n v="527"/>
    <n v="208.35225806516698"/>
    <n v="146.16952557355614"/>
    <n v="115.49789392970779"/>
    <n v="0.55433953537274916"/>
    <n v="0.81293407425595399"/>
    <n v="93363.040000000008"/>
    <n v="73498.850000000006"/>
    <n v="8433.39"/>
    <n v="0.11474179527979007"/>
    <n v="2222.06"/>
    <n v="3.0232581870328581E-2"/>
    <n v="889.44"/>
    <n v="1.2101413831644984E-2"/>
    <n v="2040.22"/>
    <n v="2.7758529555224332E-2"/>
    <n v="19864.189999999999"/>
    <n v="2170.04"/>
    <n v="0.10924382016080193"/>
    <n v="2101.6799999999998"/>
    <n v="0.10580245154723147"/>
    <n v="2023.23"/>
    <n v="0.10185313370441987"/>
    <n v="10603.67"/>
    <n v="0.5338083254338587"/>
    <n v="27.66119054976382"/>
    <n v="22.82980892846286"/>
    <n v="127.48891820580474"/>
    <n v="2.8009768588044659E-2"/>
  </r>
  <r>
    <x v="4"/>
    <x v="3"/>
    <x v="29"/>
    <n v="208134.03000787599"/>
    <n v="9491"/>
    <n v="198643.03000787599"/>
    <n v="118224.29001614499"/>
    <n v="53334.129920333602"/>
    <n v="64890.160095810897"/>
    <n v="3651.29998719692"/>
    <n v="114572.99002894758"/>
    <n v="51761.990114212"/>
    <n v="24492.829995261502"/>
    <n v="899"/>
    <n v="231.51727475848276"/>
    <n v="146.69545038754447"/>
    <n v="131.50644050739098"/>
    <n v="0.56801999178928486"/>
    <n v="0.92198562776240911"/>
    <n v="170770.28999999998"/>
    <n v="129804.9"/>
    <n v="12761.37"/>
    <n v="9.8311928132142942E-2"/>
    <n v="2984.53"/>
    <n v="2.2992429407518517E-2"/>
    <n v="1254.76"/>
    <n v="9.6665071965696212E-3"/>
    <n v="2881.23"/>
    <n v="2.2196619696174799E-2"/>
    <n v="40965.39"/>
    <n v="3311.11"/>
    <n v="8.0827010312851902E-2"/>
    <n v="5080.93"/>
    <n v="0.12402982127107787"/>
    <n v="4612.62"/>
    <n v="0.11259797599876384"/>
    <n v="22926.53"/>
    <n v="0.55965609017758644"/>
    <n v="28.494672782094948"/>
    <n v="22.908749552426485"/>
    <n v="125.31900407885792"/>
    <n v="2.7686698987731424E-2"/>
  </r>
  <r>
    <x v="4"/>
    <x v="3"/>
    <x v="30"/>
    <n v="203511.86000663601"/>
    <n v="6910"/>
    <n v="196601.86000663601"/>
    <n v="94140.250166416197"/>
    <n v="43661.470025539398"/>
    <n v="50478.780140876799"/>
    <n v="1880.6100028753301"/>
    <n v="92259.640163540869"/>
    <n v="46399.8800985813"/>
    <n v="1102.2799816131601"/>
    <n v="798"/>
    <n v="255.02739349202508"/>
    <n v="195.50087710080393"/>
    <n v="117.97023830377969"/>
    <n v="0.46257869277665942"/>
    <n v="0.61078833472059735"/>
    <n v="169882.09"/>
    <n v="144294.10999999999"/>
    <n v="9470.67"/>
    <n v="6.5634487783319789E-2"/>
    <n v="1331.04"/>
    <n v="9.2244929470787131E-3"/>
    <n v="925.02"/>
    <n v="6.4106566789178029E-3"/>
    <n v="2260.9699999999998"/>
    <n v="1.5669177348957626E-2"/>
    <n v="25587.98"/>
    <n v="3729.75"/>
    <n v="0.14576179909473119"/>
    <n v="5034.83"/>
    <n v="0.19676543439536845"/>
    <n v="2333.17"/>
    <n v="9.1182266048355526E-2"/>
    <n v="8620.9699999999993"/>
    <n v="0.33691483266752592"/>
    <n v="30.136635590974183"/>
    <n v="26.711699942123015"/>
    <n v="108.81299376299376"/>
    <n v="1.2054442792736838E-2"/>
  </r>
  <r>
    <x v="4"/>
    <x v="3"/>
    <x v="31"/>
    <n v="238768.690011328"/>
    <n v="14975"/>
    <n v="223793.690011328"/>
    <n v="139255.480208397"/>
    <n v="68672.909989356995"/>
    <n v="70582.570219039902"/>
    <n v="2931.5199961662302"/>
    <n v="136323.96021223068"/>
    <n v="62609.500130176501"/>
    <n v="1533.87998580933"/>
    <n v="1594"/>
    <n v="149.79215182642912"/>
    <n v="109.55163732455593"/>
    <n v="87.362283694100952"/>
    <n v="0.58322337070991237"/>
    <n v="0.81106882368996669"/>
    <n v="218744.12"/>
    <n v="165787.37"/>
    <n v="12791.14"/>
    <n v="7.7153886933606586E-2"/>
    <n v="1899.13"/>
    <n v="1.1455215195222654E-2"/>
    <n v="1550.59"/>
    <n v="9.3528837570678626E-3"/>
    <n v="5101.78"/>
    <n v="3.0773031745421862E-2"/>
    <n v="52956.75"/>
    <n v="6477.27"/>
    <n v="0.122312453086717"/>
    <n v="6806.9"/>
    <n v="0.12853696648680291"/>
    <n v="4222.38"/>
    <n v="7.9732611989972946E-2"/>
    <n v="23314.53"/>
    <n v="0.44025605800960216"/>
    <n v="30.231208508064288"/>
    <n v="24.275401740855191"/>
    <n v="130.34972924187724"/>
    <n v="1.6787486292354596E-2"/>
  </r>
  <r>
    <x v="4"/>
    <x v="3"/>
    <x v="32"/>
    <n v="47914.810001373298"/>
    <n v="1382"/>
    <n v="46532.810001373298"/>
    <n v="19319.9900302887"/>
    <n v="9316.1399726867694"/>
    <n v="10003.8500576019"/>
    <n v="0"/>
    <n v="19319.990030288667"/>
    <n v="14412.060081481901"/>
    <n v="239"/>
    <n v="178"/>
    <n v="269.18432585041177"/>
    <n v="186.8749995499517"/>
    <n v="108.5392698330824"/>
    <n v="0.40321541564570396"/>
    <n v="0.58081214766274747"/>
    <n v="28994.489999999998"/>
    <n v="27851.89"/>
    <n v="0"/>
    <n v="0"/>
    <n v="0"/>
    <n v="0"/>
    <n v="0"/>
    <n v="0"/>
    <n v="0"/>
    <n v="0"/>
    <n v="1142.5999999999999"/>
    <n v="0"/>
    <n v="0"/>
    <n v="0"/>
    <n v="0"/>
    <n v="0"/>
    <n v="0"/>
    <n v="0"/>
    <n v="0"/>
    <n v="35.966088695360988"/>
    <n v="35.876934362247432"/>
    <n v="38.285182427401338"/>
    <n v="0"/>
  </r>
  <r>
    <x v="4"/>
    <x v="3"/>
    <x v="33"/>
    <n v="113862.25999977101"/>
    <n v="6997"/>
    <n v="106865.25999977101"/>
    <n v="59803.060049653097"/>
    <n v="22238.129967331901"/>
    <n v="37564.930082321203"/>
    <n v="1462.2599956691299"/>
    <n v="58340.800053983978"/>
    <n v="27504.9800205231"/>
    <n v="829.58001708984398"/>
    <n v="485"/>
    <n v="234.76754639128043"/>
    <n v="176.34577311785168"/>
    <n v="123.30527845289299"/>
    <n v="0.52522284424859811"/>
    <n v="0.7113869870126468"/>
    <n v="89454.720000000001"/>
    <n v="77320.53"/>
    <n v="6365.04"/>
    <n v="8.232018068163785E-2"/>
    <n v="2097.4499999999998"/>
    <n v="2.7126689379909835E-2"/>
    <n v="780.9"/>
    <n v="1.0099516907087937E-2"/>
    <n v="-171.2"/>
    <n v="-2.2141596804884809E-3"/>
    <n v="12134.19"/>
    <n v="1880.88"/>
    <n v="0.15500663826757288"/>
    <n v="2420.4699999999998"/>
    <n v="0.1994752018882183"/>
    <n v="2417.34"/>
    <n v="0.19921725306757188"/>
    <n v="3974.22"/>
    <n v="0.32752247986886635"/>
    <n v="26.854900227473408"/>
    <n v="24.904302790777152"/>
    <n v="53.612032400589108"/>
    <n v="1.7096917096053214E-2"/>
  </r>
  <r>
    <x v="4"/>
    <x v="3"/>
    <x v="34"/>
    <n v="91818.320003051296"/>
    <n v="4390"/>
    <n v="87428.320003051296"/>
    <n v="45487.540073394797"/>
    <n v="21944.2300004959"/>
    <n v="23543.310072898901"/>
    <n v="1139.4699995517699"/>
    <n v="44348.070073843031"/>
    <n v="20272.760061264002"/>
    <n v="242"/>
    <n v="455"/>
    <n v="201.79850550121165"/>
    <n v="156.71112075118089"/>
    <n v="99.97261554592265"/>
    <n v="0.49540810670335905"/>
    <n v="0.64830228840484705"/>
    <n v="66627.48"/>
    <n v="60893.13"/>
    <n v="2457.29"/>
    <n v="4.0354141756221103E-2"/>
    <n v="-16.98"/>
    <n v="0"/>
    <n v="440.51"/>
    <n v="7.2341494024038512E-3"/>
    <n v="0"/>
    <n v="0"/>
    <n v="5734.35"/>
    <n v="1402.08"/>
    <n v="0.2445054801328834"/>
    <n v="1141.31"/>
    <n v="0.19903040449222664"/>
    <n v="902.45"/>
    <n v="0.15737616294784937"/>
    <n v="408.19"/>
    <n v="7.118330761115034E-2"/>
    <n v="26.880541067989519"/>
    <n v="25.747552308354312"/>
    <n v="50.458691826359015"/>
    <n v="1.5980548523552553E-2"/>
  </r>
  <r>
    <x v="4"/>
    <x v="3"/>
    <x v="35"/>
    <n v="103142.649998665"/>
    <n v="7708"/>
    <n v="95434.6499986649"/>
    <n v="51614.160078048699"/>
    <n v="21882.099977493301"/>
    <n v="29732.060100555402"/>
    <n v="10"/>
    <n v="51604.160078048706"/>
    <n v="23391.910039901701"/>
    <n v="111"/>
    <n v="508"/>
    <n v="203.03671259579704"/>
    <n v="156.77114165110865"/>
    <n v="101.60267731899351"/>
    <n v="0.50041529938116591"/>
    <n v="0.6481769261682564"/>
    <n v="64482.74"/>
    <n v="61721.54"/>
    <n v="0"/>
    <n v="0"/>
    <n v="0"/>
    <n v="0"/>
    <n v="0"/>
    <n v="0"/>
    <n v="0"/>
    <n v="0"/>
    <n v="2761.2"/>
    <n v="119.72"/>
    <n v="4.335796030711285E-2"/>
    <n v="0"/>
    <n v="0"/>
    <n v="0"/>
    <n v="0"/>
    <n v="0"/>
    <n v="0"/>
    <n v="26.785166175064525"/>
    <n v="27.709100018228142"/>
    <n v="15.346631260421168"/>
    <n v="1.2556545268954802E-4"/>
  </r>
  <r>
    <x v="4"/>
    <x v="3"/>
    <x v="36"/>
    <n v="8657.5099999997801"/>
    <n v="385"/>
    <n v="8272.5099999997801"/>
    <n v="2922.5400085449201"/>
    <n v="0"/>
    <n v="2922.5400085449201"/>
    <n v="0"/>
    <n v="2922.5400085449201"/>
    <n v="0"/>
    <n v="0"/>
    <n v="46"/>
    <n v="188.20673913043001"/>
    <n v="188.20673913043001"/>
    <n v="63.533478446628699"/>
    <n v="0.33757281349314"/>
    <n v="0.33757281349314"/>
    <n v="5609.97"/>
    <n v="5589.97"/>
    <n v="0"/>
    <n v="0"/>
    <n v="0"/>
    <n v="0"/>
    <n v="0"/>
    <n v="0"/>
    <n v="0"/>
    <n v="0"/>
    <n v="20"/>
    <n v="0"/>
    <n v="0"/>
    <n v="0"/>
    <n v="0"/>
    <n v="0"/>
    <n v="0"/>
    <n v="0"/>
    <n v="0"/>
    <n v="19.439665677545193"/>
    <n v="20.271852194799944"/>
    <n v="1.5584415584415585"/>
    <n v="0"/>
  </r>
  <r>
    <x v="4"/>
    <x v="4"/>
    <x v="37"/>
    <n v="71640.200001239806"/>
    <n v="4172"/>
    <n v="67468.200001239806"/>
    <n v="39982.750058651"/>
    <n v="18442.479982852899"/>
    <n v="21540.270075797998"/>
    <n v="365.00999927520797"/>
    <n v="39617.74005937569"/>
    <n v="20667.900047302199"/>
    <n v="29.5"/>
    <n v="329"/>
    <n v="217.75136778492342"/>
    <n v="154.84133724601097"/>
    <n v="121.52811567978996"/>
    <n v="0.55810494747305217"/>
    <n v="0.79051991189198212"/>
    <n v="43911.040000000001"/>
    <n v="39994.660000000003"/>
    <n v="1225.45"/>
    <n v="3.0640340485454807E-2"/>
    <n v="18.68"/>
    <n v="4.6706235282410199E-4"/>
    <n v="0"/>
    <n v="0"/>
    <n v="0"/>
    <n v="0"/>
    <n v="3916.38"/>
    <n v="782.52"/>
    <n v="0.19980696459485545"/>
    <n v="-75"/>
    <n v="0"/>
    <n v="0"/>
    <n v="0"/>
    <n v="0"/>
    <n v="0"/>
    <n v="21.098331141170021"/>
    <n v="20.928522517629386"/>
    <n v="23.00445111604229"/>
    <n v="7.165094961510742E-3"/>
  </r>
  <r>
    <x v="4"/>
    <x v="4"/>
    <x v="38"/>
    <n v="182253.730014095"/>
    <n v="6891"/>
    <n v="175362.730014095"/>
    <n v="100564.890132666"/>
    <n v="49354.480004310601"/>
    <n v="51210.410128354997"/>
    <n v="1774.23999500275"/>
    <n v="98790.650137662858"/>
    <n v="50529.389976501501"/>
    <n v="62.400001525878899"/>
    <n v="805"/>
    <n v="226.40214908583229"/>
    <n v="163.5552050137486"/>
    <n v="124.92532935734857"/>
    <n v="0.5517850862360304"/>
    <n v="0.77424490618335173"/>
    <n v="157634.63999999998"/>
    <n v="139799.35999999999"/>
    <n v="17840.95"/>
    <n v="0.12761825232962443"/>
    <n v="3307.43"/>
    <n v="2.3658405875391704E-2"/>
    <n v="4886.32"/>
    <n v="3.4952377464388965E-2"/>
    <n v="3440.87"/>
    <n v="2.4612916682880383E-2"/>
    <n v="17835.28"/>
    <n v="2004.51"/>
    <n v="0.11239016152255531"/>
    <n v="2119.66"/>
    <n v="0.11884646610538215"/>
    <n v="3107.89"/>
    <n v="0.17425518410700588"/>
    <n v="3074.55"/>
    <n v="0.17238585545054524"/>
    <n v="28.08134119371076"/>
    <n v="26.09868217721316"/>
    <n v="69.415983393876488"/>
    <n v="1.3475724226125732E-2"/>
  </r>
  <r>
    <x v="4"/>
    <x v="4"/>
    <x v="39"/>
    <n v="0"/>
    <n v="0"/>
    <n v="0"/>
    <n v="0"/>
    <n v="0"/>
    <n v="0"/>
    <n v="0"/>
    <n v="0"/>
    <n v="0"/>
    <n v="63.930000305175803"/>
    <n v="0"/>
    <s v="$0.00"/>
    <s v="$0.00"/>
    <s v="$0.00"/>
    <s v="0.00%"/>
    <n v="0"/>
    <n v="0"/>
    <n v="0"/>
    <n v="0"/>
    <s v="0.00%"/>
    <n v="0"/>
    <s v="0.00%"/>
    <n v="0"/>
    <n v="0"/>
    <n v="0"/>
    <s v="0.00%"/>
    <n v="0"/>
    <n v="0"/>
    <s v="0.00%"/>
    <n v="0"/>
    <s v="0.00%"/>
    <n v="0"/>
    <n v="0"/>
    <n v="0"/>
    <s v="0.00%"/>
    <s v="0.00"/>
    <s v="0.00"/>
    <s v="0.00"/>
    <n v="0"/>
  </r>
  <r>
    <x v="4"/>
    <x v="4"/>
    <x v="40"/>
    <n v="253477.03001527701"/>
    <n v="10529"/>
    <n v="242948.03001527701"/>
    <n v="155416.98001700599"/>
    <n v="82448.069912910505"/>
    <n v="72968.910104095907"/>
    <n v="4019.7100019455002"/>
    <n v="151397.2700150609"/>
    <n v="73551.270126789794"/>
    <n v="73513.919992346302"/>
    <n v="1289"/>
    <n v="196.64626067903569"/>
    <n v="82.553793557906076"/>
    <n v="120.57174555237114"/>
    <n v="0.61314029128256498"/>
    <n v="1.5178606029350399"/>
    <n v="217248.15"/>
    <n v="174032.27"/>
    <n v="25734.47"/>
    <n v="0.14787182859822492"/>
    <n v="5282.27"/>
    <n v="3.0352244442941535E-2"/>
    <n v="2352"/>
    <n v="1.3514734939675269E-2"/>
    <n v="10443.08"/>
    <n v="6.0006572344312926E-2"/>
    <n v="43215.88"/>
    <n v="3603.89"/>
    <n v="8.3392725081613522E-2"/>
    <n v="4049.46"/>
    <n v="9.3703055450912953E-2"/>
    <n v="4691.92"/>
    <n v="0.10856934997042754"/>
    <n v="22546.03"/>
    <n v="0.52170706693928248"/>
    <n v="25.711104660929461"/>
    <n v="21.447554157951906"/>
    <n v="128.90001988466892"/>
    <n v="3.7775025841755759E-2"/>
  </r>
  <r>
    <x v="4"/>
    <x v="4"/>
    <x v="41"/>
    <n v="0"/>
    <n v="0"/>
    <n v="0"/>
    <n v="152.90999794006299"/>
    <n v="108.289999008179"/>
    <n v="44.619998931884801"/>
    <n v="0"/>
    <n v="152.90999794006379"/>
    <n v="78.75"/>
    <n v="4996.9500117301905"/>
    <n v="0"/>
    <s v="$0.00"/>
    <s v="$0.00"/>
    <s v="$0.00"/>
    <s v="0.00%"/>
    <n v="-3.0125893489899191E-2"/>
    <n v="821.09"/>
    <n v="767.52"/>
    <n v="767.52"/>
    <n v="1"/>
    <n v="0"/>
    <n v="0"/>
    <n v="0"/>
    <n v="0"/>
    <n v="767.52"/>
    <n v="1"/>
    <n v="53.57"/>
    <n v="0"/>
    <n v="0"/>
    <n v="0"/>
    <n v="0"/>
    <n v="0"/>
    <n v="0"/>
    <n v="53.57"/>
    <n v="1"/>
    <s v="0.00"/>
    <s v="0.00"/>
    <s v="0.00"/>
    <n v="0"/>
  </r>
  <r>
    <x v="4"/>
    <x v="4"/>
    <x v="42"/>
    <n v="301964.83000563999"/>
    <n v="10799"/>
    <n v="291165.83000563999"/>
    <n v="160749.500029672"/>
    <n v="94953.969936955706"/>
    <n v="65795.530092716202"/>
    <n v="4033.2899928093002"/>
    <n v="156716.21003686261"/>
    <n v="86055.2900880128"/>
    <n v="130069.850040659"/>
    <n v="1346"/>
    <n v="224.34236998933133"/>
    <n v="63.773915213200723"/>
    <n v="119.42756317211881"/>
    <n v="0.53234510796065049"/>
    <n v="1.9649990741225578"/>
    <n v="356556.84"/>
    <n v="286230.78000000003"/>
    <n v="44478.46"/>
    <n v="0.15539370014643428"/>
    <n v="5845.2"/>
    <n v="2.0421283832577332E-2"/>
    <n v="5242.16"/>
    <n v="1.8314452414935945E-2"/>
    <n v="21190"/>
    <n v="7.4031171630109097E-2"/>
    <n v="70326.06"/>
    <n v="7617.26"/>
    <n v="0.1083134758295858"/>
    <n v="6956.96"/>
    <n v="9.8924353219844829E-2"/>
    <n v="5417.73"/>
    <n v="7.7037303099306287E-2"/>
    <n v="34922.050000000003"/>
    <n v="0.49657338972210308"/>
    <n v="37.613123169465368"/>
    <n v="31.223444517422514"/>
    <n v="225.10742255574917"/>
    <n v="4.6986306667581294E-2"/>
  </r>
  <r>
    <x v="4"/>
    <x v="4"/>
    <x v="43"/>
    <n v="0"/>
    <n v="0"/>
    <n v="0"/>
    <n v="0"/>
    <n v="0"/>
    <n v="0"/>
    <n v="0"/>
    <n v="0"/>
    <n v="0"/>
    <n v="357.60999965667702"/>
    <n v="0"/>
    <s v="$0.00"/>
    <s v="$0.00"/>
    <s v="$0.00"/>
    <s v="0.00%"/>
    <n v="0"/>
    <n v="0"/>
    <n v="0"/>
    <n v="0"/>
    <s v="0.00%"/>
    <n v="0"/>
    <s v="0.00%"/>
    <n v="0"/>
    <n v="0"/>
    <n v="0"/>
    <s v="0.00%"/>
    <n v="0"/>
    <n v="0"/>
    <s v="0.00%"/>
    <n v="0"/>
    <s v="0.00%"/>
    <n v="0"/>
    <n v="0"/>
    <n v="0"/>
    <s v="0.00%"/>
    <s v="0.00"/>
    <s v="0.00"/>
    <s v="0.00"/>
    <n v="0"/>
  </r>
  <r>
    <x v="4"/>
    <x v="4"/>
    <x v="44"/>
    <n v="188487.74000408099"/>
    <n v="9674"/>
    <n v="178813.74000408099"/>
    <n v="115285.500093505"/>
    <n v="59891.430032357603"/>
    <n v="55394.070061147198"/>
    <n v="3527.3399925231902"/>
    <n v="111758.16010098161"/>
    <n v="53384.200042495497"/>
    <n v="76234.560032414302"/>
    <n v="984"/>
    <n v="191.55258130496034"/>
    <n v="59.826199115011363"/>
    <n v="117.16006107063497"/>
    <n v="0.61163394548106276"/>
    <n v="2.0831601706324059"/>
    <n v="166856.39000000001"/>
    <n v="134759.89000000001"/>
    <n v="22934.510000000002"/>
    <n v="0.17018795429411526"/>
    <n v="3285.45"/>
    <n v="2.4380028805306975E-2"/>
    <n v="2955.53"/>
    <n v="2.1931822592019035E-2"/>
    <n v="11204.24"/>
    <n v="8.3142246554223212E-2"/>
    <n v="32096.5"/>
    <n v="2185.0300000000002"/>
    <n v="6.8076893119187451E-2"/>
    <n v="3232.87"/>
    <n v="0.10072344336609911"/>
    <n v="2954.19"/>
    <n v="9.2040876731107751E-2"/>
    <n v="17649.03"/>
    <n v="0.54987397379776604"/>
    <n v="27.268259718510915"/>
    <n v="23.119649487183828"/>
    <n v="110.5759072117593"/>
    <n v="5.991848332971194E-2"/>
  </r>
  <r>
    <x v="4"/>
    <x v="4"/>
    <x v="45"/>
    <n v="65725.860001582696"/>
    <n v="5511"/>
    <n v="60214.860001582703"/>
    <n v="38145.980021178701"/>
    <n v="18964.790000200301"/>
    <n v="19181.190020978502"/>
    <n v="884.08000183105503"/>
    <n v="37261.900019347748"/>
    <n v="16007.7799720764"/>
    <n v="162"/>
    <n v="359"/>
    <n v="183.0803899765535"/>
    <n v="138.03922013790057"/>
    <n v="106.25621175815823"/>
    <n v="0.58038008205994152"/>
    <n v="0.78373561800395952"/>
    <n v="50466.78"/>
    <n v="42473.39"/>
    <n v="1989.71"/>
    <n v="4.6846037012821438E-2"/>
    <n v="723.47"/>
    <n v="1.7033488497150806E-2"/>
    <n v="-44.77"/>
    <n v="0"/>
    <n v="0"/>
    <n v="0"/>
    <n v="7993.39"/>
    <n v="1769.44"/>
    <n v="0.22136290109703141"/>
    <n v="2113.36"/>
    <n v="0.26438845095760372"/>
    <n v="529.83000000000004"/>
    <n v="6.6283516755719418E-2"/>
    <n v="0"/>
    <n v="0"/>
    <n v="25.724634770628192"/>
    <n v="23.37460521782786"/>
    <n v="55.22839705204975"/>
    <n v="1.7839990598624084E-2"/>
  </r>
  <r>
    <x v="4"/>
    <x v="4"/>
    <x v="46"/>
    <n v="0"/>
    <n v="0"/>
    <n v="0"/>
    <n v="5.5"/>
    <n v="0"/>
    <n v="5.5"/>
    <n v="0"/>
    <n v="5.5"/>
    <n v="0"/>
    <n v="6863.7299979478103"/>
    <n v="0"/>
    <s v="$0.00"/>
    <s v="$0.00"/>
    <s v="$0.00"/>
    <s v="0.00%"/>
    <n v="-8.0131357172331193E-4"/>
    <n v="1713.44"/>
    <n v="582"/>
    <n v="582"/>
    <n v="1"/>
    <n v="0"/>
    <n v="0"/>
    <n v="0"/>
    <n v="0"/>
    <n v="582"/>
    <n v="1"/>
    <n v="1131.44"/>
    <n v="0"/>
    <n v="0"/>
    <n v="0"/>
    <n v="0"/>
    <n v="0"/>
    <n v="0"/>
    <n v="1131.44"/>
    <n v="1"/>
    <s v="0.00"/>
    <s v="0.00"/>
    <s v="0.00"/>
    <n v="0"/>
  </r>
  <r>
    <x v="4"/>
    <x v="4"/>
    <x v="47"/>
    <n v="205464.14000503201"/>
    <n v="12892"/>
    <n v="192572.14000503201"/>
    <n v="130523.21007067"/>
    <n v="68075.709973335295"/>
    <n v="62447.500097334399"/>
    <n v="3884.94999700785"/>
    <n v="126638.26007366185"/>
    <n v="63195.679945945703"/>
    <n v="119073.269915868"/>
    <n v="996"/>
    <n v="206.28929719380724"/>
    <n v="23.288343517287444"/>
    <n v="131.04739966934707"/>
    <n v="0.63526029441182807"/>
    <n v="6.7592743063987397"/>
    <n v="240254.5"/>
    <n v="184722.51"/>
    <n v="40495.339999999997"/>
    <n v="0.21922255170742316"/>
    <n v="7063.11"/>
    <n v="3.8236325394235923E-2"/>
    <n v="4513"/>
    <n v="2.4431240134188299E-2"/>
    <n v="22605.77"/>
    <n v="0.12237691010153554"/>
    <n v="55531.99"/>
    <n v="4132.84"/>
    <n v="7.4422688616057164E-2"/>
    <n v="4805.8100000000004"/>
    <n v="8.6541289084003659E-2"/>
    <n v="5476.51"/>
    <n v="9.8619012212600346E-2"/>
    <n v="33654.83"/>
    <n v="0.60604401174890365"/>
    <n v="34.606725477607533"/>
    <n v="27.992547510762595"/>
    <n v="161.69656410754149"/>
    <n v="0.16748946540296911"/>
  </r>
  <r>
    <x v="4"/>
    <x v="4"/>
    <x v="48"/>
    <n v="0"/>
    <n v="0"/>
    <n v="0"/>
    <n v="0"/>
    <n v="0"/>
    <n v="0"/>
    <n v="0"/>
    <n v="0"/>
    <n v="0"/>
    <n v="287.19999980926502"/>
    <n v="0"/>
    <s v="$0.00"/>
    <s v="$0.00"/>
    <s v="$0.00"/>
    <s v="0.00%"/>
    <n v="0"/>
    <n v="0"/>
    <n v="0"/>
    <n v="0"/>
    <s v="0.00%"/>
    <n v="0"/>
    <s v="0.00%"/>
    <n v="0"/>
    <n v="0"/>
    <n v="0"/>
    <s v="0.00%"/>
    <n v="0"/>
    <n v="0"/>
    <s v="0.00%"/>
    <n v="0"/>
    <s v="0.00%"/>
    <n v="0"/>
    <n v="0"/>
    <n v="0"/>
    <s v="0.00%"/>
    <s v="0.00"/>
    <s v="0.00"/>
    <s v="0.00"/>
    <n v="0"/>
  </r>
  <r>
    <x v="4"/>
    <x v="4"/>
    <x v="49"/>
    <n v="166865.44000249699"/>
    <n v="5921"/>
    <n v="160944.44000249699"/>
    <n v="88258.699978426099"/>
    <n v="47407.599928259799"/>
    <n v="40851.100050166198"/>
    <n v="1287.3799996375999"/>
    <n v="86971.319978788393"/>
    <n v="48340.010036289699"/>
    <n v="98093.979887742506"/>
    <n v="885"/>
    <n v="188.54851977683276"/>
    <n v="23.086384269451749"/>
    <n v="99.72734460839095"/>
    <n v="0.52892138705956893"/>
    <n v="4.6102369880079808"/>
    <n v="200468.54"/>
    <n v="154787.51"/>
    <n v="33716.22"/>
    <n v="0.21782261372380757"/>
    <n v="5921.04"/>
    <n v="3.8252698812714279E-2"/>
    <n v="3335.51"/>
    <n v="2.1548960894842227E-2"/>
    <n v="15479.57"/>
    <n v="0.1000052911245875"/>
    <n v="45681.03"/>
    <n v="3618.6"/>
    <n v="7.9214501074078236E-2"/>
    <n v="3481.98"/>
    <n v="7.6223762905521172E-2"/>
    <n v="4261.9399999999996"/>
    <n v="9.3297808740302038E-2"/>
    <n v="25901.98"/>
    <n v="0.56701830059436054"/>
    <n v="37.861043127393636"/>
    <n v="30.452299035129386"/>
    <n v="215.57824445493156"/>
    <n v="6.3009722496129975E-2"/>
  </r>
  <r>
    <x v="5"/>
    <x v="0"/>
    <x v="0"/>
    <n v="0"/>
    <n v="0"/>
    <n v="0"/>
    <n v="5"/>
    <n v="0"/>
    <n v="5"/>
    <n v="0"/>
    <n v="5"/>
    <n v="0"/>
    <n v="334.91999816894503"/>
    <n v="0"/>
    <s v="$0.00"/>
    <s v="$0.00"/>
    <s v="$0.00"/>
    <s v="0.00%"/>
    <n v="-1.4928938335529997E-2"/>
    <n v="762.12999999999988"/>
    <n v="-333.49"/>
    <n v="0"/>
    <n v="0"/>
    <n v="0"/>
    <n v="0"/>
    <n v="0"/>
    <n v="0"/>
    <n v="-333.49"/>
    <n v="0"/>
    <n v="1095.6199999999999"/>
    <n v="0"/>
    <n v="0"/>
    <n v="0"/>
    <n v="0"/>
    <n v="0"/>
    <n v="0"/>
    <n v="1095.6199999999999"/>
    <n v="1"/>
    <s v="0.00"/>
    <s v="0.00"/>
    <s v="0.00"/>
    <n v="0"/>
  </r>
  <r>
    <x v="5"/>
    <x v="0"/>
    <x v="1"/>
    <n v="165080.030006446"/>
    <n v="8446"/>
    <n v="156634.030006446"/>
    <n v="120223.48016667399"/>
    <n v="69688.550091028199"/>
    <n v="50534.930075645403"/>
    <n v="5896.6900196075403"/>
    <n v="114326.79014706606"/>
    <n v="65111.180002689398"/>
    <n v="7507.43001377583"/>
    <n v="875"/>
    <n v="188.66289143593829"/>
    <n v="105.67019427426375"/>
    <n v="137.39826304762698"/>
    <n v="0.72827391757791138"/>
    <n v="1.3888275306561928"/>
    <n v="166895.65"/>
    <n v="125956.34999999999"/>
    <n v="3195.74"/>
    <n v="2.537180539131215E-2"/>
    <n v="1878.14"/>
    <n v="1.4911038625682629E-2"/>
    <n v="1619.38"/>
    <n v="1.2856676142171477E-2"/>
    <n v="18154.04"/>
    <n v="0.14412961315566863"/>
    <n v="40939.300000000003"/>
    <n v="4348.66"/>
    <n v="0.1062221386296297"/>
    <n v="4770.8"/>
    <n v="0.11653350203838365"/>
    <n v="5013.93"/>
    <n v="0.1224722943479737"/>
    <n v="20395.22"/>
    <n v="0.4981819425344351"/>
    <n v="28.750685551872621"/>
    <n v="22.860030043512669"/>
    <n v="138.76160885775619"/>
    <n v="6.3774599397743534E-2"/>
  </r>
  <r>
    <x v="5"/>
    <x v="0"/>
    <x v="2"/>
    <n v="0"/>
    <n v="0"/>
    <n v="0"/>
    <n v="0"/>
    <n v="0"/>
    <n v="0"/>
    <n v="5"/>
    <n v="-5"/>
    <n v="0"/>
    <n v="126.90000152587901"/>
    <n v="0"/>
    <s v="$0.00"/>
    <s v="$0.00"/>
    <s v="$0.00"/>
    <s v="0.00%"/>
    <n v="0"/>
    <n v="928.57"/>
    <n v="66"/>
    <n v="0"/>
    <n v="0"/>
    <n v="0"/>
    <n v="0"/>
    <n v="0"/>
    <n v="0"/>
    <n v="66"/>
    <n v="1"/>
    <n v="862.57"/>
    <n v="0"/>
    <n v="0"/>
    <n v="0"/>
    <n v="0"/>
    <n v="0"/>
    <n v="0"/>
    <n v="862.57"/>
    <n v="1"/>
    <s v="0.00"/>
    <s v="0.00"/>
    <s v="0.00"/>
    <n v="-3.9401102757121234E-2"/>
  </r>
  <r>
    <x v="5"/>
    <x v="0"/>
    <x v="3"/>
    <n v="182098.95000680699"/>
    <n v="11258"/>
    <n v="170840.95000680699"/>
    <n v="129210.350268006"/>
    <n v="71487.870162397594"/>
    <n v="57722.480105608702"/>
    <n v="5271.7499980926495"/>
    <n v="123938.60026991364"/>
    <n v="76253.740038603501"/>
    <n v="4466.5600156784103"/>
    <n v="844"/>
    <n v="215.75704977109834"/>
    <n v="120.11688383000602"/>
    <n v="153.09283207109752"/>
    <n v="0.70956120429676461"/>
    <n v="1.3444440547897116"/>
    <n v="186092.57"/>
    <n v="145025.21"/>
    <n v="4961.38"/>
    <n v="3.4210465890723414E-2"/>
    <n v="661.53"/>
    <n v="4.5614827932329832E-3"/>
    <n v="2791.52"/>
    <n v="1.924851548223926E-2"/>
    <n v="21639.58"/>
    <n v="0.14921254035763853"/>
    <n v="41067.360000000001"/>
    <n v="4580.6099999999997"/>
    <n v="0.11153894479703588"/>
    <n v="3748.26"/>
    <n v="9.127102399569878E-2"/>
    <n v="3472.74"/>
    <n v="8.4562046355061538E-2"/>
    <n v="18473.21"/>
    <n v="0.44982706460800009"/>
    <n v="29.12950387542184"/>
    <n v="24.195911548892518"/>
    <n v="104.0558108108108"/>
    <n v="5.2000593818929068E-2"/>
  </r>
  <r>
    <x v="5"/>
    <x v="0"/>
    <x v="4"/>
    <n v="0"/>
    <n v="0"/>
    <n v="0"/>
    <n v="0"/>
    <n v="0"/>
    <n v="0"/>
    <n v="22.64999961853"/>
    <n v="-22.64999961853"/>
    <n v="0"/>
    <n v="0"/>
    <n v="0"/>
    <s v="$0.00"/>
    <s v="$0.00"/>
    <s v="$0.00"/>
    <s v="0.00%"/>
    <n v="0"/>
    <n v="1073.68"/>
    <n v="1123"/>
    <n v="0"/>
    <n v="0"/>
    <n v="0"/>
    <n v="0"/>
    <n v="0"/>
    <n v="0"/>
    <n v="1123"/>
    <n v="1"/>
    <n v="-49.32"/>
    <n v="0"/>
    <n v="0"/>
    <n v="0"/>
    <n v="0"/>
    <n v="0"/>
    <n v="0"/>
    <n v="-49.32"/>
    <n v="1"/>
    <s v="0.00"/>
    <s v="0.00"/>
    <s v="0.00"/>
    <s v="0.00%"/>
  </r>
  <r>
    <x v="5"/>
    <x v="0"/>
    <x v="5"/>
    <n v="352951.08002354897"/>
    <n v="17710"/>
    <n v="335241.08002354897"/>
    <n v="254215.20025840399"/>
    <n v="142492.96008172599"/>
    <n v="111722.24017667799"/>
    <n v="11266.2000161409"/>
    <n v="242949.00024226308"/>
    <n v="153886.93997716901"/>
    <n v="8324.4099657721799"/>
    <n v="1594"/>
    <n v="221.4247678943218"/>
    <n v="119.66106027641642"/>
    <n v="159.48255976060477"/>
    <n v="0.7202561902953879"/>
    <n v="1.4164495464433664"/>
    <n v="324615.07999999996"/>
    <n v="236478.96"/>
    <n v="6245.73"/>
    <n v="2.6411356003933711E-2"/>
    <n v="7100.74"/>
    <n v="3.0026941931747334E-2"/>
    <n v="2007.14"/>
    <n v="8.4876049860841754E-3"/>
    <n v="19584.990000000002"/>
    <n v="8.2819164969264086E-2"/>
    <n v="88136.12"/>
    <n v="11948.95"/>
    <n v="0.1355738146857384"/>
    <n v="8505.31"/>
    <n v="9.6501978984325609E-2"/>
    <n v="10988.47"/>
    <n v="0.12467612597423168"/>
    <n v="46131.7"/>
    <n v="0.52341423697798362"/>
    <n v="25.563999509539713"/>
    <n v="19.651936515902754"/>
    <n v="132.58201665045144"/>
    <n v="5.9065827614308432E-2"/>
  </r>
  <r>
    <x v="5"/>
    <x v="0"/>
    <x v="6"/>
    <n v="0"/>
    <n v="0"/>
    <n v="0"/>
    <n v="507.549996376038"/>
    <n v="255.25"/>
    <n v="252.299996376038"/>
    <n v="123.889999389648"/>
    <n v="383.65999698639001"/>
    <n v="-5.25"/>
    <n v="1533.42000113428"/>
    <n v="0"/>
    <s v="$0.00"/>
    <s v="$0.00"/>
    <s v="$0.00"/>
    <s v="0.00%"/>
    <n v="-0.30722249568119531"/>
    <n v="6976.35"/>
    <n v="949.09"/>
    <n v="0"/>
    <n v="0"/>
    <n v="0"/>
    <n v="0"/>
    <n v="0"/>
    <n v="0"/>
    <n v="949.09"/>
    <n v="1"/>
    <n v="6027.26"/>
    <n v="0"/>
    <n v="0"/>
    <n v="0"/>
    <n v="0"/>
    <n v="0"/>
    <n v="0"/>
    <n v="6027.26"/>
    <n v="1"/>
    <s v="0.00"/>
    <s v="0.00"/>
    <s v="0.00"/>
    <n v="-8.1070822812704724E-2"/>
  </r>
  <r>
    <x v="5"/>
    <x v="0"/>
    <x v="7"/>
    <n v="0"/>
    <n v="0"/>
    <n v="0"/>
    <n v="0"/>
    <n v="0"/>
    <n v="0"/>
    <n v="0"/>
    <n v="0"/>
    <n v="0"/>
    <n v="0"/>
    <n v="0"/>
    <s v="$0.00"/>
    <s v="$0.00"/>
    <s v="$0.00"/>
    <s v="0.00%"/>
    <s v="0.00%"/>
    <n v="0"/>
    <n v="0"/>
    <n v="0"/>
    <s v="0.00%"/>
    <n v="0"/>
    <s v="0.00%"/>
    <n v="0"/>
    <n v="0"/>
    <n v="0"/>
    <s v="0.00%"/>
    <n v="0"/>
    <n v="0"/>
    <s v="0.00%"/>
    <n v="0"/>
    <s v="0.00%"/>
    <n v="0"/>
    <n v="0"/>
    <n v="0"/>
    <s v="0.00%"/>
    <s v="0.00"/>
    <s v="0.00"/>
    <s v="0.00"/>
    <s v="0.00%"/>
  </r>
  <r>
    <x v="5"/>
    <x v="0"/>
    <x v="8"/>
    <n v="220011.35001065599"/>
    <n v="10935"/>
    <n v="209076.35001065599"/>
    <n v="168729.88007061201"/>
    <n v="103057.950006887"/>
    <n v="65671.930063724503"/>
    <n v="5984.8500037193298"/>
    <n v="162745.03006689216"/>
    <n v="97985.710114048794"/>
    <n v="7057.8999818563498"/>
    <n v="1131"/>
    <n v="194.52816092896197"/>
    <n v="101.65140576016874"/>
    <n v="149.18645452750795"/>
    <n v="0.76691443447094543"/>
    <n v="1.5482235808607625"/>
    <n v="250094.11"/>
    <n v="189562.33"/>
    <n v="5604.77"/>
    <n v="2.956689760038295E-2"/>
    <n v="4797.1899999999996"/>
    <n v="2.5306662985203864E-2"/>
    <n v="2485.6999999999998"/>
    <n v="1.3112837344845888E-2"/>
    <n v="14872.23"/>
    <n v="7.8455619320568604E-2"/>
    <n v="60531.78"/>
    <n v="6872.76"/>
    <n v="0.1135396976596426"/>
    <n v="5864.21"/>
    <n v="9.6878201830509533E-2"/>
    <n v="8788.69"/>
    <n v="0.14519133585696639"/>
    <n v="29570.63"/>
    <n v="0.48851413257630955"/>
    <n v="30.21172665516621"/>
    <n v="24.038871155033245"/>
    <n v="154.26472199781429"/>
    <n v="5.2056777041604239E-2"/>
  </r>
  <r>
    <x v="5"/>
    <x v="0"/>
    <x v="9"/>
    <n v="0"/>
    <n v="0"/>
    <n v="0"/>
    <n v="0"/>
    <n v="0"/>
    <n v="0"/>
    <n v="0"/>
    <n v="0"/>
    <n v="0"/>
    <n v="0"/>
    <n v="0"/>
    <s v="$0.00"/>
    <s v="$0.00"/>
    <s v="$0.00"/>
    <s v="0.00%"/>
    <s v="0.00%"/>
    <n v="0"/>
    <n v="0"/>
    <n v="0"/>
    <s v="0.00%"/>
    <n v="0"/>
    <s v="0.00%"/>
    <n v="0"/>
    <n v="0"/>
    <n v="0"/>
    <s v="0.00%"/>
    <n v="0"/>
    <n v="0"/>
    <s v="0.00%"/>
    <n v="0"/>
    <s v="0.00%"/>
    <n v="0"/>
    <n v="0"/>
    <n v="0"/>
    <s v="0.00%"/>
    <s v="0.00"/>
    <s v="0.00"/>
    <s v="0.00"/>
    <s v="0.00%"/>
  </r>
  <r>
    <x v="5"/>
    <x v="0"/>
    <x v="10"/>
    <n v="238842.74000682501"/>
    <n v="14803"/>
    <n v="224039.74000682501"/>
    <n v="189921.87037515501"/>
    <n v="119773.260292349"/>
    <n v="70148.6100828052"/>
    <n v="5886.5400066375696"/>
    <n v="184035.33036851662"/>
    <n v="115645.360099453"/>
    <n v="7593.6799961030501"/>
    <n v="1278"/>
    <n v="186.88790297873632"/>
    <n v="90.456729195046137"/>
    <n v="148.60866226537885"/>
    <n v="0.79517539603559695"/>
    <n v="1.7310133669176138"/>
    <n v="257607.57"/>
    <n v="181632.67"/>
    <n v="8115.32"/>
    <n v="4.467984751862096E-2"/>
    <n v="3518.92"/>
    <n v="1.9373827406710478E-2"/>
    <n v="4730.3100000000004"/>
    <n v="2.6043277346525822E-2"/>
    <n v="22919.759999999998"/>
    <n v="0.12618743092858789"/>
    <n v="75974.899999999994"/>
    <n v="7077"/>
    <n v="9.3149184796557816E-2"/>
    <n v="6741.15"/>
    <n v="8.8728645908056472E-2"/>
    <n v="9775.8799999999992"/>
    <n v="0.12867249578479209"/>
    <n v="36265.120000000003"/>
    <n v="0.47733027618331852"/>
    <n v="29.354292530152691"/>
    <n v="21.882296533979098"/>
    <n v="159.82378514830657"/>
    <n v="5.0919996601802138E-2"/>
  </r>
  <r>
    <x v="5"/>
    <x v="0"/>
    <x v="11"/>
    <n v="0"/>
    <n v="0"/>
    <n v="0"/>
    <n v="0"/>
    <n v="0"/>
    <n v="0"/>
    <n v="0"/>
    <n v="0"/>
    <n v="0"/>
    <n v="0"/>
    <n v="0"/>
    <s v="$0.00"/>
    <s v="$0.00"/>
    <s v="$0.00"/>
    <s v="0.00%"/>
    <s v="0.00%"/>
    <n v="157"/>
    <n v="157"/>
    <n v="0"/>
    <n v="0"/>
    <n v="0"/>
    <n v="0"/>
    <n v="0"/>
    <n v="0"/>
    <n v="157"/>
    <n v="1"/>
    <n v="0"/>
    <n v="0"/>
    <s v="0.00%"/>
    <n v="0"/>
    <s v="0.00%"/>
    <n v="0"/>
    <n v="0"/>
    <n v="0"/>
    <s v="0.00%"/>
    <s v="0.00"/>
    <s v="0.00"/>
    <s v="0.00"/>
    <s v="0.00%"/>
  </r>
  <r>
    <x v="5"/>
    <x v="0"/>
    <x v="12"/>
    <n v="225295.57000650099"/>
    <n v="18825"/>
    <n v="206470.57000650099"/>
    <n v="175803.63013140101"/>
    <n v="102751.450032867"/>
    <n v="73052.180098533601"/>
    <n v="6305.1500089168503"/>
    <n v="169498.48012248374"/>
    <n v="101784.71018035299"/>
    <n v="10713.4099886268"/>
    <n v="1189"/>
    <n v="189.48323802060639"/>
    <n v="94.867493555526664"/>
    <n v="147.85839371858756"/>
    <n v="0.78032439841727785"/>
    <n v="1.6508576715344718"/>
    <n v="296606.94"/>
    <n v="205460.46"/>
    <n v="7194.35"/>
    <n v="3.5015739768128627E-2"/>
    <n v="5330.25"/>
    <n v="2.5942947854784324E-2"/>
    <n v="3474.18"/>
    <n v="1.6909238887131861E-2"/>
    <n v="31623.25"/>
    <n v="0.15391404263379924"/>
    <n v="91146.48"/>
    <n v="10037.299999999999"/>
    <n v="0.11012273869490077"/>
    <n v="8689"/>
    <n v="9.5330066503939603E-2"/>
    <n v="11022"/>
    <n v="0.12092622775997494"/>
    <n v="40762.44"/>
    <n v="0.44721902590204254"/>
    <n v="33.685494949402077"/>
    <n v="25.044396704677617"/>
    <n v="151.57396895787139"/>
    <n v="5.5897983668948964E-2"/>
  </r>
  <r>
    <x v="5"/>
    <x v="0"/>
    <x v="13"/>
    <n v="142596.43000753201"/>
    <n v="9912"/>
    <n v="132684.43000753201"/>
    <n v="115012.270085931"/>
    <n v="69706.460035681695"/>
    <n v="45305.8100502491"/>
    <n v="4429.8500015735599"/>
    <n v="110582.42008435723"/>
    <n v="73506.730090141296"/>
    <n v="4272.2400113940203"/>
    <n v="686"/>
    <n v="207.86651604596503"/>
    <n v="94.486093157429565"/>
    <n v="167.65637038765422"/>
    <n v="0.80655785057070362"/>
    <n v="1.9045673486326649"/>
    <n v="180389.68"/>
    <n v="119269.53"/>
    <n v="6537.16"/>
    <n v="5.4809975355818039E-2"/>
    <n v="3758.21"/>
    <n v="3.1510227297785111E-2"/>
    <n v="2495.13"/>
    <n v="2.0920095853484123E-2"/>
    <n v="12543.69"/>
    <n v="0.10517095187681214"/>
    <n v="61120.15"/>
    <n v="6377.85"/>
    <n v="0.10434938395929984"/>
    <n v="6054.36"/>
    <n v="9.9056694068977241E-2"/>
    <n v="4022.41"/>
    <n v="6.5811520423297382E-2"/>
    <n v="31593.9"/>
    <n v="0.51691463453541919"/>
    <n v="30.854352414627961"/>
    <n v="21.576434249917131"/>
    <n v="191.76620184765557"/>
    <n v="6.8343468071690436E-2"/>
  </r>
  <r>
    <x v="5"/>
    <x v="0"/>
    <x v="14"/>
    <n v="0"/>
    <n v="0"/>
    <n v="0"/>
    <n v="620.11999416351296"/>
    <n v="172.42999839782701"/>
    <n v="447.68999576568598"/>
    <n v="50"/>
    <n v="570.11999416351296"/>
    <n v="-63.5"/>
    <n v="1944.39999318123"/>
    <n v="0"/>
    <s v="$0.00"/>
    <s v="$0.00"/>
    <s v="$0.00"/>
    <s v="0.00%"/>
    <n v="-0.32115593575710882"/>
    <n v="9860.68"/>
    <n v="1432.78"/>
    <n v="0"/>
    <n v="0"/>
    <n v="0"/>
    <n v="0"/>
    <n v="0"/>
    <n v="0"/>
    <n v="1432.78"/>
    <n v="1"/>
    <n v="8427.9"/>
    <n v="0"/>
    <n v="0"/>
    <n v="0"/>
    <n v="0"/>
    <n v="0"/>
    <n v="0"/>
    <n v="8427.9"/>
    <n v="1"/>
    <s v="0.00"/>
    <s v="0.00"/>
    <s v="0.00"/>
    <n v="-2.6583018863981865E-2"/>
  </r>
  <r>
    <x v="5"/>
    <x v="0"/>
    <x v="15"/>
    <n v="0"/>
    <n v="0"/>
    <n v="0"/>
    <n v="0"/>
    <n v="0"/>
    <n v="0"/>
    <n v="0"/>
    <n v="0"/>
    <n v="0"/>
    <n v="0"/>
    <n v="0"/>
    <s v="$0.00"/>
    <s v="$0.00"/>
    <s v="$0.00"/>
    <s v="0.00%"/>
    <s v="0.00%"/>
    <n v="0"/>
    <n v="0"/>
    <n v="0"/>
    <s v="0.00%"/>
    <n v="0"/>
    <s v="0.00%"/>
    <n v="0"/>
    <n v="0"/>
    <n v="0"/>
    <s v="0.00%"/>
    <n v="0"/>
    <n v="0"/>
    <s v="0.00%"/>
    <n v="0"/>
    <s v="0.00%"/>
    <n v="0"/>
    <n v="0"/>
    <n v="0"/>
    <s v="0.00%"/>
    <s v="0.00"/>
    <s v="0.00"/>
    <s v="0.00"/>
    <s v="0.00%"/>
  </r>
  <r>
    <x v="5"/>
    <x v="0"/>
    <x v="16"/>
    <n v="113212.680008257"/>
    <n v="4651"/>
    <n v="108561.680008257"/>
    <n v="89634.160105362505"/>
    <n v="47099.020012795903"/>
    <n v="42535.140092566602"/>
    <n v="6167.6099913120297"/>
    <n v="83466.550114050478"/>
    <n v="53600.680016517603"/>
    <n v="3298.11000919342"/>
    <n v="553"/>
    <n v="204.72455697695659"/>
    <n v="101.8334357731392"/>
    <n v="162.08708879812389"/>
    <n v="0.79173251705396575"/>
    <n v="1.787453827502886"/>
    <n v="110679.8"/>
    <n v="87098.47"/>
    <n v="2201.75"/>
    <n v="2.5278859663091669E-2"/>
    <n v="2144.79"/>
    <n v="2.462488721099234E-2"/>
    <n v="2913.29"/>
    <n v="3.344823393568222E-2"/>
    <n v="14700.24"/>
    <n v="0.16877724717782069"/>
    <n v="23581.33"/>
    <n v="3591.5"/>
    <n v="0.15230269030627194"/>
    <n v="3190.11"/>
    <n v="0.13528117370818354"/>
    <n v="1828.71"/>
    <n v="7.7549061058048888E-2"/>
    <n v="13442.05"/>
    <n v="0.57002934100833147"/>
    <n v="23.616766415925781"/>
    <n v="19.66345452701777"/>
    <n v="91.744248476202827"/>
    <n v="0.10952200235543362"/>
  </r>
  <r>
    <x v="5"/>
    <x v="1"/>
    <x v="17"/>
    <n v="607020.53103006794"/>
    <n v="21520"/>
    <n v="585500.53103006794"/>
    <n v="478537.3693364081"/>
    <n v="335411.53906211408"/>
    <n v="143125.8302742932"/>
    <n v="16370.81999364498"/>
    <n v="462166.54934276233"/>
    <n v="205397.13971030479"/>
    <n v="22978.85007095342"/>
    <n v="2808"/>
    <n v="216.17540278848574"/>
    <n v="134.84492209715447"/>
    <n v="170.41929107421913"/>
    <n v="0.78833802956279841"/>
    <n v="1.320927633609265"/>
    <n v="593783.31000000006"/>
    <n v="505654.46"/>
    <n v="15106.48"/>
    <n v="2.9875104829491662E-2"/>
    <n v="16040.359999999999"/>
    <n v="3.1721978680856487E-2"/>
    <n v="12601.83"/>
    <n v="2.492182111871415E-2"/>
    <n v="25771.57"/>
    <n v="5.0966760977446929E-2"/>
    <n v="88128.849999999991"/>
    <n v="10374.25"/>
    <n v="0.11771684300884445"/>
    <n v="7155.69"/>
    <n v="8.1195771872661457E-2"/>
    <n v="9182.06"/>
    <n v="0.10418903684775191"/>
    <n v="25626"/>
    <n v="0.2907787858346047"/>
    <n v="31.035960391106389"/>
    <n v="27.338081768391373"/>
    <n v="138.61822995858017"/>
    <n v="4.3235325510443873E-2"/>
  </r>
  <r>
    <x v="5"/>
    <x v="2"/>
    <x v="18"/>
    <n v="0"/>
    <n v="0"/>
    <n v="0"/>
    <n v="0"/>
    <n v="0"/>
    <n v="0"/>
    <n v="132.75999450683599"/>
    <n v="-132.75999450683599"/>
    <n v="0"/>
    <n v="89.699996948242003"/>
    <n v="0"/>
    <s v="$0.00"/>
    <s v="$0.00"/>
    <s v="$0.00"/>
    <s v="0.00%"/>
    <n v="0"/>
    <n v="-22.45"/>
    <n v="7.55"/>
    <n v="0"/>
    <n v="0"/>
    <n v="0"/>
    <n v="0"/>
    <n v="0"/>
    <n v="0"/>
    <n v="7.55"/>
    <n v="1"/>
    <n v="-30"/>
    <n v="0"/>
    <n v="0"/>
    <n v="0"/>
    <n v="0"/>
    <n v="0"/>
    <n v="0"/>
    <n v="-30"/>
    <n v="1"/>
    <s v="0.00"/>
    <s v="0.00"/>
    <s v="0.00"/>
    <n v="-1.4800445822026074"/>
  </r>
  <r>
    <x v="5"/>
    <x v="2"/>
    <x v="19"/>
    <n v="98737.140003204302"/>
    <n v="5197"/>
    <n v="93540.140003204302"/>
    <n v="71600.670405387893"/>
    <n v="45035.030286788897"/>
    <n v="26565.640118598902"/>
    <n v="3906.4499950408899"/>
    <n v="67694.220410346898"/>
    <n v="43546.7196674347"/>
    <n v="2376.3100119829201"/>
    <n v="753"/>
    <n v="131.1250199245741"/>
    <n v="70.138260722160268"/>
    <n v="95.087211693742091"/>
    <n v="0.72516451664555148"/>
    <n v="1.4639970492169307"/>
    <n v="97548.73"/>
    <n v="70289.39"/>
    <n v="2503.37"/>
    <n v="3.5615190286898205E-2"/>
    <n v="980"/>
    <n v="1.394236029079211E-2"/>
    <n v="804.54"/>
    <n v="1.1446108722810084E-2"/>
    <n v="6485.12"/>
    <n v="9.2263142417369104E-2"/>
    <n v="27259.34"/>
    <n v="2071.16"/>
    <n v="7.5979829298875173E-2"/>
    <n v="2410.36"/>
    <n v="8.842327070281232E-2"/>
    <n v="3648.77"/>
    <n v="0.13385393776958648"/>
    <n v="13605.82"/>
    <n v="0.49912507052628563"/>
    <n v="28.574302892203711"/>
    <n v="21.980271820506495"/>
    <n v="126.1876658779961"/>
    <n v="7.3966028606591586E-2"/>
  </r>
  <r>
    <x v="5"/>
    <x v="2"/>
    <x v="20"/>
    <n v="0"/>
    <n v="0"/>
    <n v="0"/>
    <n v="0"/>
    <n v="0"/>
    <n v="0"/>
    <n v="994.26001358032204"/>
    <n v="-994.26001358032204"/>
    <n v="0"/>
    <n v="616.150002479553"/>
    <n v="0"/>
    <s v="$0.00"/>
    <s v="$0.00"/>
    <s v="$0.00"/>
    <s v="0.00%"/>
    <n v="0"/>
    <n v="1202.1600000000001"/>
    <n v="894.61"/>
    <n v="0"/>
    <n v="0"/>
    <n v="0"/>
    <n v="0"/>
    <n v="0"/>
    <n v="0"/>
    <n v="894.61"/>
    <n v="1"/>
    <n v="307.55"/>
    <n v="0"/>
    <n v="0"/>
    <n v="0"/>
    <n v="0"/>
    <n v="0"/>
    <n v="0"/>
    <n v="307.55"/>
    <n v="1"/>
    <s v="0.00"/>
    <s v="0.00"/>
    <s v="0.00"/>
    <n v="-1.6136655190767717"/>
  </r>
  <r>
    <x v="5"/>
    <x v="2"/>
    <x v="21"/>
    <n v="195408.640003204"/>
    <n v="14266"/>
    <n v="181142.640003204"/>
    <n v="143504.41079699999"/>
    <n v="77055.050539135904"/>
    <n v="66449.360257863998"/>
    <n v="9706.8000040054303"/>
    <n v="133797.61079299447"/>
    <n v="83166.239181548401"/>
    <n v="4735.0300003420598"/>
    <n v="973"/>
    <n v="200.83107913998356"/>
    <n v="110.49061749364186"/>
    <n v="147.48654758170596"/>
    <n v="0.73438109386896577"/>
    <n v="1.4673166996649414"/>
    <n v="148959.06"/>
    <n v="115434.16"/>
    <n v="7070.22"/>
    <n v="6.1248940521592569E-2"/>
    <n v="3086.1"/>
    <n v="2.6734720467494196E-2"/>
    <n v="2361.2199999999998"/>
    <n v="2.0455123509366721E-2"/>
    <n v="8293.15"/>
    <n v="7.1843118189624286E-2"/>
    <n v="33524.9"/>
    <n v="3040.69"/>
    <n v="9.0699450259359465E-2"/>
    <n v="5363.18"/>
    <n v="0.15997601782555654"/>
    <n v="4272.08"/>
    <n v="0.12743005944835031"/>
    <n v="16317.56"/>
    <n v="0.48672956518885957"/>
    <n v="22.40308753570978"/>
    <n v="18.415455442430215"/>
    <n v="88.058632967546117"/>
    <n v="9.0289623212337355E-2"/>
  </r>
  <r>
    <x v="5"/>
    <x v="2"/>
    <x v="22"/>
    <n v="0"/>
    <n v="0"/>
    <n v="0"/>
    <n v="172.33999681472801"/>
    <n v="129.05999660491901"/>
    <n v="43.280000209808001"/>
    <n v="838.44999694824196"/>
    <n v="-666.11000013351497"/>
    <n v="117.739998817444"/>
    <n v="614.83000302314804"/>
    <n v="0"/>
    <s v="$0.00"/>
    <s v="$0.00"/>
    <s v="$0.00"/>
    <s v="0.00%"/>
    <n v="-0.10969942900000715"/>
    <n v="2997.63"/>
    <n v="1687.57"/>
    <n v="0"/>
    <n v="0"/>
    <n v="0"/>
    <n v="0"/>
    <n v="0"/>
    <n v="0"/>
    <n v="1687.57"/>
    <n v="1"/>
    <n v="1310.06"/>
    <n v="0"/>
    <n v="0"/>
    <n v="0"/>
    <n v="0"/>
    <n v="0"/>
    <n v="0"/>
    <n v="1310.06"/>
    <n v="1"/>
    <s v="0.00"/>
    <s v="0.00"/>
    <s v="0.00"/>
    <n v="-1.1445322560869611"/>
  </r>
  <r>
    <x v="5"/>
    <x v="2"/>
    <x v="23"/>
    <n v="122994"/>
    <n v="5160"/>
    <n v="117834"/>
    <n v="83963.150533348293"/>
    <n v="51054.660339266098"/>
    <n v="32908.490194082297"/>
    <n v="8126.7899999618503"/>
    <n v="75836.360533386542"/>
    <n v="58593.869541168198"/>
    <n v="2355.7700068950699"/>
    <n v="589"/>
    <n v="208.81833616298812"/>
    <n v="105.33847275371261"/>
    <n v="142.55203825695821"/>
    <n v="0.68266054062270021"/>
    <n v="1.5572502586728296"/>
    <n v="106368.59999999999"/>
    <n v="76078.929999999993"/>
    <n v="1963"/>
    <n v="2.5802150477142623E-2"/>
    <n v="1844.45"/>
    <n v="2.4243900380828177E-2"/>
    <n v="2399.0300000000002"/>
    <n v="3.1533435078542775E-2"/>
    <n v="8875.26"/>
    <n v="0.11665858076605443"/>
    <n v="30289.67"/>
    <n v="4492.97"/>
    <n v="0.14833340871656905"/>
    <n v="5162.1000000000004"/>
    <n v="0.17042443843065971"/>
    <n v="2307.2199999999998"/>
    <n v="7.6171843404038403E-2"/>
    <n v="9859.9500000000007"/>
    <n v="0.32552186933697203"/>
    <n v="25.628222711229697"/>
    <n v="19.111771606803604"/>
    <n v="178.47782506219718"/>
    <n v="0.13098354049853328"/>
  </r>
  <r>
    <x v="5"/>
    <x v="2"/>
    <x v="24"/>
    <n v="94390.5"/>
    <n v="4444"/>
    <n v="89946.5"/>
    <n v="62182.850362122103"/>
    <n v="35449.000237464898"/>
    <n v="26733.850124657201"/>
    <n v="2913.6899995803801"/>
    <n v="59269.160362541719"/>
    <n v="39579.029640197798"/>
    <n v="1447.48000228405"/>
    <n v="459"/>
    <n v="205.64379084967319"/>
    <n v="116.261416900911"/>
    <n v="135.47461952532049"/>
    <n v="0.65878293220315709"/>
    <n v="1.2325565937356873"/>
    <n v="82536.2"/>
    <n v="63271.9"/>
    <n v="3428.47"/>
    <n v="5.4186297550729463E-2"/>
    <n v="1641.98"/>
    <n v="2.5951172637458334E-2"/>
    <n v="262.5"/>
    <n v="4.1487611404114619E-3"/>
    <n v="4311.13"/>
    <n v="6.8136566153379305E-2"/>
    <n v="19264.3"/>
    <n v="2884.47"/>
    <n v="0.14973136838608203"/>
    <n v="1579.29"/>
    <n v="8.1980139428891791E-2"/>
    <n v="1541"/>
    <n v="7.9992525033351844E-2"/>
    <n v="9041.94"/>
    <n v="0.46936249954579201"/>
    <n v="25.724630717471705"/>
    <n v="21.101455253832434"/>
    <n v="91.739615852690605"/>
    <n v="5.4600302189918348E-2"/>
  </r>
  <r>
    <x v="5"/>
    <x v="2"/>
    <x v="25"/>
    <n v="82855.690002441406"/>
    <n v="5679"/>
    <n v="77176.690002441406"/>
    <n v="55528.790351867698"/>
    <n v="30123.520236492201"/>
    <n v="25405.270115375501"/>
    <n v="3115.2500042915299"/>
    <n v="52413.540347576178"/>
    <n v="35682.179763793902"/>
    <n v="-39.5"/>
    <n v="414"/>
    <n v="200.13451691410967"/>
    <n v="114.04108753296499"/>
    <n v="134.12751292721669"/>
    <n v="0.67018680733008806"/>
    <n v="1.2592201975057673"/>
    <n v="53604.24"/>
    <n v="44672.45"/>
    <n v="4246.75"/>
    <n v="9.5064183853806994E-2"/>
    <n v="1412.12"/>
    <n v="3.1610534009215971E-2"/>
    <n v="708.08"/>
    <n v="1.5850485030482996E-2"/>
    <n v="0"/>
    <n v="0"/>
    <n v="8931.7900000000009"/>
    <n v="1514.09"/>
    <n v="0.16951697252174533"/>
    <n v="1833.21"/>
    <n v="0.20524553309023161"/>
    <n v="1373.28"/>
    <n v="0.1537519355022901"/>
    <n v="865.32"/>
    <n v="9.6880916367267922E-2"/>
    <n v="19.349057583930872"/>
    <n v="17.465701607220197"/>
    <n v="42.001206959611274"/>
    <n v="6.59828718513156E-2"/>
  </r>
  <r>
    <x v="5"/>
    <x v="2"/>
    <x v="26"/>
    <n v="94614.360000610395"/>
    <n v="5780"/>
    <n v="88834.360000610395"/>
    <n v="67682.980473995194"/>
    <n v="38539.3803191185"/>
    <n v="29143.600154876702"/>
    <n v="4573.5200138091996"/>
    <n v="63109.460460186012"/>
    <n v="40877.289610385902"/>
    <n v="594.64000535011303"/>
    <n v="433"/>
    <n v="218.50891455106327"/>
    <n v="122.73078610825492"/>
    <n v="156.31173319629377"/>
    <n v="0.71535632089630541"/>
    <n v="1.3935453761861043"/>
    <n v="62254.65"/>
    <n v="49125.4"/>
    <n v="2724.4"/>
    <n v="5.5458072606024582E-2"/>
    <n v="-329.26"/>
    <n v="0"/>
    <n v="1573"/>
    <n v="3.2020095510672683E-2"/>
    <n v="2916.56"/>
    <n v="5.936969469968692E-2"/>
    <n v="13129.25"/>
    <n v="2223.14"/>
    <n v="0.16932726545689966"/>
    <n v="1969.29"/>
    <n v="0.14999257383323494"/>
    <n v="1532.94"/>
    <n v="0.1167576213416608"/>
    <n v="5325.83"/>
    <n v="0.40564617171582534"/>
    <n v="20.23923353196972"/>
    <n v="16.910538519692899"/>
    <n v="76.814177988688812"/>
    <n v="8.6061551582912441E-2"/>
  </r>
  <r>
    <x v="5"/>
    <x v="2"/>
    <x v="27"/>
    <n v="111491"/>
    <n v="7017"/>
    <n v="104474"/>
    <n v="77769.030407901897"/>
    <n v="45588.520261228099"/>
    <n v="32180.510146673802"/>
    <n v="3508.9200043678302"/>
    <n v="74260.110403534069"/>
    <n v="46994.429612278902"/>
    <n v="1630.0400061607399"/>
    <n v="621"/>
    <n v="179.53462157809983"/>
    <n v="101.23434844051587"/>
    <n v="125.23193302399662"/>
    <n v="0.69753639673069479"/>
    <n v="1.3101779184457154"/>
    <n v="93164.140000000014"/>
    <n v="70802.460000000006"/>
    <n v="43.92"/>
    <n v="6.203174296486308E-4"/>
    <n v="2302.23"/>
    <n v="3.2516243079689602E-2"/>
    <n v="1589.81"/>
    <n v="2.2454163315794393E-2"/>
    <n v="4669.0200000000004"/>
    <n v="6.5944318883835396E-2"/>
    <n v="22361.68"/>
    <n v="1366.46"/>
    <n v="6.1107215558043937E-2"/>
    <n v="3440.34"/>
    <n v="0.15384980019390315"/>
    <n v="3035.78"/>
    <n v="0.13575813624021094"/>
    <n v="10771.75"/>
    <n v="0.48170575734917948"/>
    <n v="24.887789238382624"/>
    <n v="20.057854764643018"/>
    <n v="104.7603560460153"/>
    <n v="5.5815391482095314E-2"/>
  </r>
  <r>
    <x v="5"/>
    <x v="3"/>
    <x v="28"/>
    <n v="110151.94999958"/>
    <n v="5214"/>
    <n v="104937.94999958"/>
    <n v="71015.070253252998"/>
    <n v="35579.4201654196"/>
    <n v="35435.650087833397"/>
    <n v="4044.0799980163602"/>
    <n v="66970.99025523664"/>
    <n v="46975.580094158599"/>
    <n v="1147.6899967193599"/>
    <n v="459"/>
    <n v="239.98246187272332"/>
    <n v="135.13873618453604"/>
    <n v="154.71692865632463"/>
    <n v="0.64470098126745623"/>
    <n v="1.2247229499321939"/>
    <n v="91742.69"/>
    <n v="71239.7"/>
    <n v="1185.24"/>
    <n v="1.6637352487447309E-2"/>
    <n v="1716.4"/>
    <n v="2.4093307523754312E-2"/>
    <n v="1409.43"/>
    <n v="1.9784333735262782E-2"/>
    <n v="2659.25"/>
    <n v="3.7328203234993973E-2"/>
    <n v="20502.990000000002"/>
    <n v="2003.78"/>
    <n v="9.7731111413506017E-2"/>
    <n v="2416.25"/>
    <n v="0.11784866499959273"/>
    <n v="2381.13"/>
    <n v="0.11613574410366488"/>
    <n v="10911.61"/>
    <n v="0.53219603579770558"/>
    <n v="27.466917316527432"/>
    <n v="22.391277380926876"/>
    <n v="129.32920521446593"/>
    <n v="6.5196937996563967E-2"/>
  </r>
  <r>
    <x v="5"/>
    <x v="3"/>
    <x v="29"/>
    <n v="164983.820005683"/>
    <n v="9201"/>
    <n v="155782.820005683"/>
    <n v="119345.320298076"/>
    <n v="63693.610206484802"/>
    <n v="55651.710091590903"/>
    <n v="5322.3499937057504"/>
    <n v="114022.97030436996"/>
    <n v="78233.360069045797"/>
    <n v="3462.9799864292099"/>
    <n v="689"/>
    <n v="239.45402032755152"/>
    <n v="120.88168352715238"/>
    <n v="173.21526893770059"/>
    <n v="0.7233759061583418"/>
    <n v="1.5307525346864683"/>
    <n v="137446.25"/>
    <n v="101863.96"/>
    <n v="1839.48"/>
    <n v="1.8058202331815883E-2"/>
    <n v="3193.3"/>
    <n v="3.1348673269721697E-2"/>
    <n v="2237.8200000000002"/>
    <n v="2.1968711995881567E-2"/>
    <n v="3043.81"/>
    <n v="2.9881127731535274E-2"/>
    <n v="35582.29"/>
    <n v="2539.4"/>
    <n v="7.136696373392494E-2"/>
    <n v="3826.25"/>
    <n v="0.10753242694610156"/>
    <n v="5012.6099999999997"/>
    <n v="0.14087373241013998"/>
    <n v="21900.26"/>
    <n v="0.6154820277165971"/>
    <n v="23.273458928563414"/>
    <n v="18.232002066285734"/>
    <n v="111.67937576285965"/>
    <n v="6.3903362148640203E-2"/>
  </r>
  <r>
    <x v="5"/>
    <x v="3"/>
    <x v="30"/>
    <n v="171544.160004901"/>
    <n v="5322"/>
    <n v="166222.160004901"/>
    <n v="101882.910296381"/>
    <n v="62831.830188691602"/>
    <n v="39051.080107688897"/>
    <n v="5738.2899951934796"/>
    <n v="96144.620301187009"/>
    <n v="84840.240104902507"/>
    <n v="77.220001220702997"/>
    <n v="662"/>
    <n v="259.13015106480515"/>
    <n v="130.85604214316888"/>
    <n v="153.90167718486478"/>
    <n v="0.59391651860063155"/>
    <n v="1.2595489318904991"/>
    <n v="155892.78"/>
    <n v="127333.75999999999"/>
    <n v="2710.24"/>
    <n v="2.1284536009931694E-2"/>
    <n v="1994.49"/>
    <n v="1.5663481546449268E-2"/>
    <n v="1313.15"/>
    <n v="1.0312661779562625E-2"/>
    <n v="2386.1"/>
    <n v="1.8738942445428456E-2"/>
    <n v="28559.02"/>
    <n v="3055.91"/>
    <n v="0.10700332154254592"/>
    <n v="3152.88"/>
    <n v="0.11039874617546401"/>
    <n v="4639.8"/>
    <n v="0.16246355792320605"/>
    <n v="10630.86"/>
    <n v="0.37224176459836511"/>
    <n v="27.097857170250318"/>
    <n v="23.010413843110129"/>
    <n v="130.28089614273406"/>
    <n v="6.6241586045625647E-2"/>
  </r>
  <r>
    <x v="5"/>
    <x v="3"/>
    <x v="31"/>
    <n v="193745.690003909"/>
    <n v="13421"/>
    <n v="180324.690003909"/>
    <n v="138781.79042324401"/>
    <n v="80906.120308726997"/>
    <n v="57875.670114517197"/>
    <n v="5768.7399966716803"/>
    <n v="133013.0504265725"/>
    <n v="80756.490253448501"/>
    <n v="894.48000144958496"/>
    <n v="1153"/>
    <n v="168.03615785247962"/>
    <n v="97.220051820477806"/>
    <n v="120.36581996812158"/>
    <n v="0.71630904625772129"/>
    <n v="1.3052481693232729"/>
    <n v="201056.38"/>
    <n v="144579.82999999999"/>
    <n v="3313.11"/>
    <n v="2.2915437097968647E-2"/>
    <n v="3045.89"/>
    <n v="2.1067184821008576E-2"/>
    <n v="1499.72"/>
    <n v="1.037295451239637E-2"/>
    <n v="5632"/>
    <n v="3.8954258004038324E-2"/>
    <n v="56476.55"/>
    <n v="6014.64"/>
    <n v="0.10649800669481405"/>
    <n v="7074.47"/>
    <n v="0.12526384844683325"/>
    <n v="6576.07"/>
    <n v="0.11643894678410772"/>
    <n v="24455.4"/>
    <n v="0.43301865995709726"/>
    <n v="27.91635495120002"/>
    <n v="21.386318504998744"/>
    <n v="127.8585676913015"/>
    <n v="5.1463084163003867E-2"/>
  </r>
  <r>
    <x v="5"/>
    <x v="3"/>
    <x v="32"/>
    <n v="44110.470001945301"/>
    <n v="1428"/>
    <n v="42682.470001945301"/>
    <n v="22681.340028382801"/>
    <n v="12340.110008239701"/>
    <n v="10341.230020143101"/>
    <n v="125"/>
    <n v="22556.340028382801"/>
    <n v="18019.519989013701"/>
    <n v="0"/>
    <n v="161"/>
    <n v="273.9780745462441"/>
    <n v="162.05559014243229"/>
    <n v="140.87788837504846"/>
    <n v="0.51419402303767203"/>
    <n v="0.87350318463553256"/>
    <n v="32026.54"/>
    <n v="30701.4"/>
    <n v="0"/>
    <n v="0"/>
    <n v="0"/>
    <n v="0"/>
    <n v="0"/>
    <n v="0"/>
    <n v="0"/>
    <n v="0"/>
    <n v="1325.14"/>
    <n v="-52.37"/>
    <n v="0"/>
    <n v="0"/>
    <n v="0"/>
    <n v="0"/>
    <n v="0"/>
    <n v="0"/>
    <n v="0"/>
    <n v="24.931129470642198"/>
    <n v="24.781390211741833"/>
    <n v="28.989450656295581"/>
    <n v="4.7909332522597129E-3"/>
  </r>
  <r>
    <x v="5"/>
    <x v="3"/>
    <x v="33"/>
    <n v="111572.15000442399"/>
    <n v="5785"/>
    <n v="105787.15000442399"/>
    <n v="69354.000131130204"/>
    <n v="35736.500031948097"/>
    <n v="33617.5000991821"/>
    <n v="2917.1800050735501"/>
    <n v="66436.820126056642"/>
    <n v="47303.550098419197"/>
    <n v="-19.5"/>
    <n v="429"/>
    <n v="260.07494173525407"/>
    <n v="149.85571073660793"/>
    <n v="161.66433597000045"/>
    <n v="0.62160673724025395"/>
    <n v="1.1300792010790408"/>
    <n v="87621.52"/>
    <n v="72374.53"/>
    <n v="448.71"/>
    <n v="6.1998330075511369E-3"/>
    <n v="1400.95"/>
    <n v="1.9356947810231031E-2"/>
    <n v="2309.71"/>
    <n v="3.1913298780662201E-2"/>
    <n v="311.81"/>
    <n v="4.3082835909262554E-3"/>
    <n v="15246.99"/>
    <n v="1527.38"/>
    <n v="0.10017583798507117"/>
    <n v="1517.93"/>
    <n v="9.9556043520721144E-2"/>
    <n v="2109.9699999999998"/>
    <n v="0.13838600274545992"/>
    <n v="6157.26"/>
    <n v="0.40383446175277876"/>
    <n v="25.12538755277043"/>
    <n v="22.141212890030317"/>
    <n v="69.748353156450136"/>
    <n v="4.5376671722118705E-2"/>
  </r>
  <r>
    <x v="5"/>
    <x v="3"/>
    <x v="34"/>
    <n v="77517.190001010895"/>
    <n v="2686"/>
    <n v="74831.190001010895"/>
    <n v="47269.550119290099"/>
    <n v="27536.470054158901"/>
    <n v="19733.080065131198"/>
    <n v="1634.23999786377"/>
    <n v="45635.31012142633"/>
    <n v="37696.070116043098"/>
    <n v="-145"/>
    <n v="357"/>
    <n v="217.13498599722939"/>
    <n v="111.9499156441675"/>
    <n v="132.40770341537842"/>
    <n v="0.60979442261353467"/>
    <n v="1.2331654554514289"/>
    <n v="58891.45"/>
    <n v="50612.93"/>
    <n v="1753.02"/>
    <n v="3.4635813417638536E-2"/>
    <n v="736.02"/>
    <n v="1.4542133798616281E-2"/>
    <n v="-66.98"/>
    <n v="0"/>
    <n v="240.51"/>
    <n v="4.75194777302954E-3"/>
    <n v="8278.52"/>
    <n v="1023.95"/>
    <n v="0.12368756734295502"/>
    <n v="1532.56"/>
    <n v="0.18512487739354375"/>
    <n v="1022.28"/>
    <n v="0.12348584046423756"/>
    <n v="1405.64"/>
    <n v="0.16979363461101743"/>
    <n v="22.611514177753357"/>
    <n v="20.348447151701869"/>
    <n v="70.649231936279165"/>
    <n v="4.0890634431551269E-2"/>
  </r>
  <r>
    <x v="5"/>
    <x v="3"/>
    <x v="35"/>
    <n v="87393.710001468702"/>
    <n v="5569"/>
    <n v="81824.710001468702"/>
    <n v="54248.3601160049"/>
    <n v="28306.900006294301"/>
    <n v="25941.460109710701"/>
    <n v="1384.7700021266901"/>
    <n v="52863.590113878308"/>
    <n v="37527.590076446497"/>
    <n v="-22.159999847411999"/>
    <n v="402"/>
    <n v="217.39728856086742"/>
    <n v="124.10019881808363"/>
    <n v="134.94616944279852"/>
    <n v="0.62073529222061097"/>
    <n v="1.11844194785929"/>
    <n v="59168.79"/>
    <n v="54731.040000000001"/>
    <n v="1289.19"/>
    <n v="2.3555006446067898E-2"/>
    <n v="0"/>
    <n v="0"/>
    <n v="0"/>
    <n v="0"/>
    <n v="0"/>
    <n v="0"/>
    <n v="4437.75"/>
    <n v="1583.02"/>
    <n v="0.35671680468705991"/>
    <n v="169.72"/>
    <n v="3.8244605937693653E-2"/>
    <n v="0"/>
    <n v="0"/>
    <n v="0"/>
    <n v="0"/>
    <n v="20.584486039195188"/>
    <n v="20.417099104281281"/>
    <n v="22.899919729373316"/>
    <n v="2.775742126631978E-2"/>
  </r>
  <r>
    <x v="5"/>
    <x v="3"/>
    <x v="36"/>
    <n v="51496.700001487501"/>
    <n v="4020"/>
    <n v="47476.700001487501"/>
    <n v="19137.230028152499"/>
    <n v="5945.6299839019803"/>
    <n v="13191.600044250499"/>
    <n v="0"/>
    <n v="19137.23002815248"/>
    <n v="10859.3700180054"/>
    <n v="40"/>
    <n v="246"/>
    <n v="209.33617886783537"/>
    <n v="165.02979668082156"/>
    <n v="77.793618000619844"/>
    <n v="0.37162051214154879"/>
    <n v="0.47139134607962829"/>
    <n v="27437.719999999998"/>
    <n v="26869.35"/>
    <n v="0"/>
    <n v="0"/>
    <n v="0"/>
    <n v="0"/>
    <n v="0"/>
    <n v="0"/>
    <n v="0"/>
    <n v="0"/>
    <n v="568.37"/>
    <n v="0"/>
    <n v="0"/>
    <n v="0"/>
    <n v="0"/>
    <n v="0"/>
    <n v="0"/>
    <n v="0"/>
    <n v="0"/>
    <n v="27.367381268232045"/>
    <n v="28.918095878972824"/>
    <n v="7.7417026106696936"/>
    <n v="0"/>
  </r>
  <r>
    <x v="5"/>
    <x v="4"/>
    <x v="37"/>
    <n v="60612.370000362404"/>
    <n v="4097"/>
    <n v="56515.370000362404"/>
    <n v="40350.079990685001"/>
    <n v="23150.2399692535"/>
    <n v="17199.840021431399"/>
    <n v="1096.4599952697799"/>
    <n v="39253.619995415116"/>
    <n v="26261.2399845123"/>
    <n v="-7.6399993896479996"/>
    <n v="262"/>
    <n v="231.34492366550535"/>
    <n v="131.14034356961739"/>
    <n v="154.00793889574388"/>
    <n v="0.66570701641337637"/>
    <n v="1.2130871237283154"/>
    <n v="39551.5"/>
    <n v="33980.74"/>
    <n v="1038.1300000000001"/>
    <n v="3.0550541277205856E-2"/>
    <n v="259.91000000000003"/>
    <n v="7.6487445535323847E-3"/>
    <n v="80.489999999999995"/>
    <n v="2.3686947370775329E-3"/>
    <n v="0"/>
    <n v="0"/>
    <n v="5570.76"/>
    <n v="1103.94"/>
    <n v="0.19816685694591044"/>
    <n v="877.67"/>
    <n v="0.15754941875076289"/>
    <n v="15"/>
    <n v="2.6926308080046529E-3"/>
    <n v="0"/>
    <n v="0"/>
    <n v="18.530274649730121"/>
    <n v="17.245863637149121"/>
    <n v="33.95654588554013"/>
    <n v="3.1912085176024861E-2"/>
  </r>
  <r>
    <x v="5"/>
    <x v="4"/>
    <x v="38"/>
    <n v="161733.91000127801"/>
    <n v="9952"/>
    <n v="151781.91000127801"/>
    <n v="112196.60017452401"/>
    <n v="63271.210045911401"/>
    <n v="48925.390128612496"/>
    <n v="4008.8000082969702"/>
    <n v="108187.80016622692"/>
    <n v="72878.410019367904"/>
    <n v="491.549995422363"/>
    <n v="679"/>
    <n v="238.19427098862741"/>
    <n v="130.13836522310419"/>
    <n v="165.23799731152266"/>
    <n v="0.69371104781698112"/>
    <n v="1.3300503905633652"/>
    <n v="138973.04999999999"/>
    <n v="117892.23"/>
    <n v="6434.92"/>
    <n v="5.4583071335574877E-2"/>
    <n v="3041.55"/>
    <n v="2.5799410190137213E-2"/>
    <n v="2413.75"/>
    <n v="2.0474207672549753E-2"/>
    <n v="4772.32"/>
    <n v="4.0480360749813621E-2"/>
    <n v="21080.82"/>
    <n v="4712.87"/>
    <n v="0.22356198667793759"/>
    <n v="2176.65"/>
    <n v="0.10325262489789297"/>
    <n v="1900.09"/>
    <n v="9.0133590628827531E-2"/>
    <n v="6191.24"/>
    <n v="0.29369066288692752"/>
    <n v="25.198876019922611"/>
    <n v="22.447517139141191"/>
    <n v="80.111210572984845"/>
    <n v="4.5366917265581494E-2"/>
  </r>
  <r>
    <x v="5"/>
    <x v="4"/>
    <x v="39"/>
    <n v="0"/>
    <n v="0"/>
    <n v="0"/>
    <n v="0"/>
    <n v="0"/>
    <n v="0"/>
    <n v="0"/>
    <n v="0"/>
    <n v="0"/>
    <n v="0"/>
    <n v="0"/>
    <s v="$0.00"/>
    <s v="$0.00"/>
    <s v="$0.00"/>
    <s v="0.00%"/>
    <s v="0.00%"/>
    <n v="0"/>
    <n v="0"/>
    <n v="0"/>
    <s v="0.00%"/>
    <n v="0"/>
    <s v="0.00%"/>
    <n v="0"/>
    <n v="0"/>
    <n v="0"/>
    <s v="0.00%"/>
    <n v="0"/>
    <n v="0"/>
    <s v="0.00%"/>
    <n v="0"/>
    <s v="0.00%"/>
    <n v="0"/>
    <n v="0"/>
    <n v="0"/>
    <s v="0.00%"/>
    <s v="0.00"/>
    <s v="0.00"/>
    <s v="0.00"/>
    <s v="0.00%"/>
  </r>
  <r>
    <x v="5"/>
    <x v="4"/>
    <x v="40"/>
    <n v="210568.06000573901"/>
    <n v="10106"/>
    <n v="200462.06000573901"/>
    <n v="164183.06013935799"/>
    <n v="96556.480048865094"/>
    <n v="67626.580090492993"/>
    <n v="7881.4200112819699"/>
    <n v="156301.64012807613"/>
    <n v="92339.590002128898"/>
    <n v="3898.8099952787202"/>
    <n v="1043"/>
    <n v="201.88692234490796"/>
    <n v="109.61616491690451"/>
    <n v="157.41424749698763"/>
    <n v="0.77971492986582724"/>
    <n v="1.5423745864084646"/>
    <n v="178608.59"/>
    <n v="135795.60999999999"/>
    <n v="2858.15"/>
    <n v="2.1047440340670808E-2"/>
    <n v="2032.89"/>
    <n v="1.4970218845808051E-2"/>
    <n v="2948.27"/>
    <n v="2.1711084769235178E-2"/>
    <n v="10602.53"/>
    <n v="7.807711898786715E-2"/>
    <n v="42812.98"/>
    <n v="4988.03"/>
    <n v="0.11650742368319139"/>
    <n v="3363.68"/>
    <n v="7.8566827163164057E-2"/>
    <n v="5034.2299999999996"/>
    <n v="0.11758653567212558"/>
    <n v="22450.05"/>
    <n v="0.52437485080459234"/>
    <n v="23.023623343511296"/>
    <n v="18.293212221273517"/>
    <n v="128.05052008906318"/>
    <n v="6.8935917510011296E-2"/>
  </r>
  <r>
    <x v="5"/>
    <x v="4"/>
    <x v="41"/>
    <n v="0"/>
    <n v="0"/>
    <n v="0"/>
    <n v="51.589999675750001"/>
    <n v="0"/>
    <n v="51.589999675750001"/>
    <n v="0"/>
    <n v="51.589999675750001"/>
    <n v="0"/>
    <n v="63.179999113081998"/>
    <n v="0"/>
    <s v="$0.00"/>
    <s v="$0.00"/>
    <s v="$0.00"/>
    <s v="0.00%"/>
    <n v="-0.81655587844204036"/>
    <n v="706.31999999999994"/>
    <n v="767.52"/>
    <n v="0"/>
    <n v="0"/>
    <n v="0"/>
    <n v="0"/>
    <n v="0"/>
    <n v="0"/>
    <n v="767.52"/>
    <n v="1"/>
    <n v="-61.2"/>
    <n v="0"/>
    <n v="0"/>
    <n v="0"/>
    <n v="0"/>
    <n v="0"/>
    <n v="0"/>
    <n v="-61.2"/>
    <n v="1"/>
    <s v="0.00"/>
    <s v="0.00"/>
    <s v="0.00"/>
    <n v="0"/>
  </r>
  <r>
    <x v="5"/>
    <x v="4"/>
    <x v="42"/>
    <n v="244463.83000052499"/>
    <n v="7084"/>
    <n v="237379.83000052499"/>
    <n v="180109.62006689599"/>
    <n v="124790.27001906899"/>
    <n v="55319.350047826803"/>
    <n v="5795.3899860382098"/>
    <n v="174314.23008085758"/>
    <n v="116327.510278245"/>
    <n v="6814.5000050067902"/>
    <n v="1055"/>
    <n v="231.71927014267771"/>
    <n v="114.99698551400304"/>
    <n v="170.72001902075431"/>
    <n v="0.73675365417660765"/>
    <n v="1.5590338980085297"/>
    <n v="309522.63"/>
    <n v="245427.03"/>
    <n v="8730.7099999999991"/>
    <n v="3.5573547053883998E-2"/>
    <n v="8486.9699999999993"/>
    <n v="3.4580420909628408E-2"/>
    <n v="4207.1000000000004"/>
    <n v="1.7141958650601773E-2"/>
    <n v="22966.48"/>
    <n v="9.357763079315265E-2"/>
    <n v="64095.6"/>
    <n v="6942.36"/>
    <n v="0.10831258307902571"/>
    <n v="8163.42"/>
    <n v="0.12736318873682437"/>
    <n v="6659.3"/>
    <n v="0.10389636730134362"/>
    <n v="32754.31"/>
    <n v="0.5110227535119416"/>
    <n v="34.549557558219419"/>
    <n v="28.215043238413479"/>
    <n v="246.18487538409013"/>
    <n v="4.7768736073558006E-2"/>
  </r>
  <r>
    <x v="5"/>
    <x v="4"/>
    <x v="43"/>
    <n v="0"/>
    <n v="0"/>
    <n v="0"/>
    <n v="0"/>
    <n v="0"/>
    <n v="0"/>
    <n v="0"/>
    <n v="0"/>
    <n v="0"/>
    <n v="0"/>
    <n v="0"/>
    <s v="$0.00"/>
    <s v="$0.00"/>
    <s v="$0.00"/>
    <s v="0.00%"/>
    <s v="0.00%"/>
    <n v="0"/>
    <n v="0"/>
    <n v="0"/>
    <s v="0.00%"/>
    <n v="0"/>
    <s v="0.00%"/>
    <n v="0"/>
    <n v="0"/>
    <n v="0"/>
    <s v="0.00%"/>
    <n v="0"/>
    <n v="0"/>
    <s v="0.00%"/>
    <n v="0"/>
    <s v="0.00%"/>
    <n v="0"/>
    <n v="0"/>
    <n v="0"/>
    <s v="0.00%"/>
    <s v="0.00"/>
    <s v="0.00"/>
    <s v="0.00"/>
    <s v="0.00%"/>
  </r>
  <r>
    <x v="5"/>
    <x v="4"/>
    <x v="44"/>
    <n v="167855.880003242"/>
    <n v="8723"/>
    <n v="159132.880003242"/>
    <n v="119109.62020570401"/>
    <n v="67338.730145875394"/>
    <n v="51770.890059828802"/>
    <n v="7211.8800067901602"/>
    <n v="111897.74019891403"/>
    <n v="64117.479919224999"/>
    <n v="3953.68998861313"/>
    <n v="917"/>
    <n v="183.04894220637078"/>
    <n v="108.81647774853202"/>
    <n v="129.89053457546805"/>
    <n v="0.70959456531045373"/>
    <n v="1.2866585162373088"/>
    <n v="152928.46000000002"/>
    <n v="121177.88"/>
    <n v="4011.93"/>
    <n v="3.3107775115392347E-2"/>
    <n v="2810.3"/>
    <n v="2.3191526374285471E-2"/>
    <n v="2885.68"/>
    <n v="2.3813587100219937E-2"/>
    <n v="12421.47"/>
    <n v="0.10250608444379451"/>
    <n v="31750.58"/>
    <n v="2417.0100000000002"/>
    <n v="7.6124908584347117E-2"/>
    <n v="3103.67"/>
    <n v="9.7751600128249627E-2"/>
    <n v="3559.75"/>
    <n v="0.11211606213177837"/>
    <n v="16607.439999999999"/>
    <n v="0.52305942127671357"/>
    <n v="26.138482957629702"/>
    <n v="21.836076077825002"/>
    <n v="105.39028546138528"/>
    <n v="7.22743995537483E-2"/>
  </r>
  <r>
    <x v="5"/>
    <x v="4"/>
    <x v="45"/>
    <n v="56776.959999084502"/>
    <n v="4188"/>
    <n v="52588.959999084502"/>
    <n v="39426.060062766097"/>
    <n v="21519.050015807199"/>
    <n v="17907.010046958902"/>
    <n v="1357.5500011444101"/>
    <n v="38068.510061621695"/>
    <n v="26132.020030975302"/>
    <n v="56.5"/>
    <n v="345"/>
    <n v="164.57089854807103"/>
    <n v="88.662144835099127"/>
    <n v="114.27843496453943"/>
    <n v="0.69440244887013725"/>
    <n v="1.3487806942355622"/>
    <n v="43619.14"/>
    <n v="33495.300000000003"/>
    <n v="976.96"/>
    <n v="2.9167077172021147E-2"/>
    <n v="306.5"/>
    <n v="9.1505375381023598E-3"/>
    <n v="609.51"/>
    <n v="1.8196881353503325E-2"/>
    <n v="-134.77000000000001"/>
    <n v="-4.0235495726266071E-3"/>
    <n v="10123.84"/>
    <n v="2873.9"/>
    <n v="0.28387449821411637"/>
    <n v="1851.57"/>
    <n v="0.18289206467111294"/>
    <n v="2123.58"/>
    <n v="0.20976032809684861"/>
    <n v="529.83000000000004"/>
    <n v="5.2334884786800269E-2"/>
    <n v="22.155254746769021"/>
    <n v="18.405866183000978"/>
    <n v="67.955369928400955"/>
    <n v="4.4381145379096168E-2"/>
  </r>
  <r>
    <x v="5"/>
    <x v="4"/>
    <x v="46"/>
    <n v="0"/>
    <n v="0"/>
    <n v="0"/>
    <n v="108.56999969482401"/>
    <n v="0"/>
    <n v="108.56999969482401"/>
    <n v="20"/>
    <n v="88.569999694824006"/>
    <n v="0"/>
    <n v="41.269999504089"/>
    <n v="0"/>
    <s v="$0.00"/>
    <s v="$0.00"/>
    <s v="$0.00"/>
    <s v="0.00%"/>
    <n v="-1.7719928280328829"/>
    <n v="1583.6"/>
    <n v="582"/>
    <n v="0"/>
    <n v="0"/>
    <n v="0"/>
    <n v="0"/>
    <n v="0"/>
    <n v="0"/>
    <n v="582"/>
    <n v="1"/>
    <n v="1001.6"/>
    <n v="0"/>
    <n v="0"/>
    <n v="0"/>
    <n v="0"/>
    <n v="0"/>
    <n v="0"/>
    <n v="1001.6"/>
    <n v="1"/>
    <s v="0.00"/>
    <s v="0.00"/>
    <s v="0.00"/>
    <n v="-0.48461352654046957"/>
  </r>
  <r>
    <x v="5"/>
    <x v="4"/>
    <x v="47"/>
    <n v="168423.870004803"/>
    <n v="5914"/>
    <n v="162509.870004803"/>
    <n v="125024.68009182801"/>
    <n v="75896.930044382796"/>
    <n v="49127.750047445297"/>
    <n v="6951.1000118255597"/>
    <n v="118073.58008000253"/>
    <n v="72752.440102100401"/>
    <n v="7750.3300132751501"/>
    <n v="845"/>
    <n v="199.31818935479646"/>
    <n v="104.04863892239935"/>
    <n v="147.95820129210426"/>
    <n v="0.74232162037520411"/>
    <n v="1.5440864552404763"/>
    <n v="203016.67"/>
    <n v="154552.54"/>
    <n v="7218.15"/>
    <n v="4.6703535250860316E-2"/>
    <n v="4916.49"/>
    <n v="3.1811123906472193E-2"/>
    <n v="5556.69"/>
    <n v="3.5953404583321628E-2"/>
    <n v="23318.49"/>
    <n v="0.1508774297724256"/>
    <n v="48464.13"/>
    <n v="5452.96"/>
    <n v="0.11251537993150812"/>
    <n v="3914.56"/>
    <n v="8.0772315524904714E-2"/>
    <n v="4797.79"/>
    <n v="9.8996721905458746E-2"/>
    <n v="29840"/>
    <n v="0.61571310575470972"/>
    <n v="31.740591358467032"/>
    <n v="25.388789810233639"/>
    <n v="156.99991721258368"/>
    <n v="7.9060658028249173E-2"/>
  </r>
  <r>
    <x v="5"/>
    <x v="4"/>
    <x v="48"/>
    <n v="0"/>
    <n v="0"/>
    <n v="0"/>
    <n v="0"/>
    <n v="0"/>
    <n v="0"/>
    <n v="0"/>
    <n v="0"/>
    <n v="0"/>
    <n v="0"/>
    <n v="0"/>
    <s v="$0.00"/>
    <s v="$0.00"/>
    <s v="$0.00"/>
    <s v="0.00%"/>
    <s v="0.00%"/>
    <n v="0"/>
    <n v="0"/>
    <n v="0"/>
    <s v="0.00%"/>
    <n v="0"/>
    <s v="0.00%"/>
    <n v="0"/>
    <n v="0"/>
    <n v="0"/>
    <s v="0.00%"/>
    <n v="0"/>
    <n v="0"/>
    <s v="0.00%"/>
    <n v="0"/>
    <s v="0.00%"/>
    <n v="0"/>
    <n v="0"/>
    <n v="0"/>
    <s v="0.00%"/>
    <s v="0.00"/>
    <s v="0.00"/>
    <s v="0.00"/>
    <s v="0.00%"/>
  </r>
  <r>
    <x v="5"/>
    <x v="4"/>
    <x v="49"/>
    <n v="114980.290000686"/>
    <n v="6255"/>
    <n v="108725.290000686"/>
    <n v="91880.200110137506"/>
    <n v="60366.620059669003"/>
    <n v="31513.580050468401"/>
    <n v="4430.8200056552896"/>
    <n v="87449.380104482116"/>
    <n v="67030.889912128405"/>
    <n v="4577.1899965256498"/>
    <n v="568"/>
    <n v="202.43008802937675"/>
    <n v="76.359524809915385"/>
    <n v="161.76091568686164"/>
    <n v="0.79909521979453368"/>
    <n v="2.3594483891390663"/>
    <n v="158094.72999999998"/>
    <n v="114431.34"/>
    <n v="5081.16"/>
    <n v="4.440356986119362E-2"/>
    <n v="3862.6"/>
    <n v="3.3754738867866091E-2"/>
    <n v="5390.76"/>
    <n v="4.7109122378537212E-2"/>
    <n v="14071.66"/>
    <n v="0.1229703331272709"/>
    <n v="43663.39"/>
    <n v="5795.21"/>
    <n v="0.13272469224217359"/>
    <n v="3902.69"/>
    <n v="8.9381287160708325E-2"/>
    <n v="3669.87"/>
    <n v="8.4049131320312054E-2"/>
    <n v="23774.95"/>
    <n v="0.54450536250162895"/>
    <n v="33.747558236233679"/>
    <n v="25.46569063331545"/>
    <n v="228.51108332848753"/>
    <n v="0.10215804074206702"/>
  </r>
  <r>
    <x v="6"/>
    <x v="0"/>
    <x v="0"/>
    <n v="0"/>
    <n v="0"/>
    <n v="0"/>
    <n v="7.8999998569479999"/>
    <n v="7.1799998283380004"/>
    <n v="0.72000002861000001"/>
    <n v="0"/>
    <n v="7.8999998569480008"/>
    <n v="0"/>
    <n v="1087.7199945002801"/>
    <n v="0"/>
    <s v="$0.00"/>
    <s v="$0.00"/>
    <s v="$0.00"/>
    <s v="0.00%"/>
    <n v="-7.262898445272596E-3"/>
    <n v="-333.49"/>
    <n v="-333.49"/>
    <n v="0"/>
    <n v="0"/>
    <n v="0"/>
    <n v="0"/>
    <n v="0"/>
    <n v="0"/>
    <n v="-333.49"/>
    <n v="0"/>
    <n v="0"/>
    <n v="0"/>
    <s v="0.00%"/>
    <n v="0"/>
    <s v="0.00%"/>
    <n v="0"/>
    <n v="0"/>
    <n v="0"/>
    <s v="0.00%"/>
    <s v="0.00"/>
    <s v="0.00"/>
    <s v="0.00"/>
    <n v="0"/>
  </r>
  <r>
    <x v="6"/>
    <x v="0"/>
    <x v="1"/>
    <n v="159542.08000759"/>
    <n v="12152"/>
    <n v="147390.08000759"/>
    <n v="115447.170126596"/>
    <n v="54603.120095312603"/>
    <n v="60844.050031283899"/>
    <n v="3042.5400010347398"/>
    <n v="112404.63012556176"/>
    <n v="58749.300060411901"/>
    <n v="-237.89001250267"/>
    <n v="965"/>
    <n v="165.32858031874611"/>
    <n v="104.69499477687127"/>
    <n v="119.63437318818289"/>
    <n v="0.72361580168131345"/>
    <n v="1.178175052175388"/>
    <n v="158111.56"/>
    <n v="114794.81999999999"/>
    <n v="2544.0700000000002"/>
    <n v="2.2161888489393513E-2"/>
    <n v="3094.04"/>
    <n v="2.6952784106460553E-2"/>
    <n v="2536.4899999999998"/>
    <n v="2.2095857635388075E-2"/>
    <n v="19099.920000000002"/>
    <n v="0.16638311728699956"/>
    <n v="43316.74"/>
    <n v="3362.88"/>
    <n v="7.7634651176427413E-2"/>
    <n v="3840.82"/>
    <n v="8.8668260815564615E-2"/>
    <n v="3798.47"/>
    <n v="8.7690578746230666E-2"/>
    <n v="23029.98"/>
    <n v="0.53166466359195086"/>
    <n v="27.667222853742818"/>
    <n v="21.347843661243218"/>
    <n v="128.37970823591399"/>
    <n v="3.0115013611697852E-2"/>
  </r>
  <r>
    <x v="6"/>
    <x v="0"/>
    <x v="2"/>
    <n v="0"/>
    <n v="0"/>
    <n v="0"/>
    <n v="0"/>
    <n v="0"/>
    <n v="0"/>
    <n v="0"/>
    <n v="0"/>
    <n v="0"/>
    <n v="998.57001256942704"/>
    <n v="0"/>
    <s v="$0.00"/>
    <s v="$0.00"/>
    <s v="$0.00"/>
    <s v="0.00%"/>
    <n v="0"/>
    <n v="-70"/>
    <n v="0"/>
    <n v="0"/>
    <s v="0.00%"/>
    <n v="0"/>
    <s v="0.00%"/>
    <n v="0"/>
    <n v="0"/>
    <n v="0"/>
    <s v="0.00%"/>
    <n v="-70"/>
    <n v="0"/>
    <n v="0"/>
    <n v="0"/>
    <n v="0"/>
    <n v="0"/>
    <n v="0"/>
    <n v="-70"/>
    <n v="1"/>
    <s v="0.00"/>
    <s v="0.00"/>
    <s v="0.00"/>
    <n v="0"/>
  </r>
  <r>
    <x v="6"/>
    <x v="0"/>
    <x v="3"/>
    <n v="188716.79000821701"/>
    <n v="11383"/>
    <n v="177333.79000821701"/>
    <n v="130891.840202764"/>
    <n v="62462.650163382299"/>
    <n v="68429.190039381399"/>
    <n v="3888.1999897956798"/>
    <n v="127003.64021296802"/>
    <n v="62518.050056710803"/>
    <n v="494.459998130798"/>
    <n v="939"/>
    <n v="200.97634718659958"/>
    <n v="133.87037268730074"/>
    <n v="139.39493099335857"/>
    <n v="0.69358873790225284"/>
    <n v="1.0745037949168734"/>
    <n v="185350.08000000002"/>
    <n v="144117.88"/>
    <n v="7705.25"/>
    <n v="5.3464913583241715E-2"/>
    <n v="3501.2"/>
    <n v="2.4294001549287288E-2"/>
    <n v="2438.02"/>
    <n v="1.6916846126240545E-2"/>
    <n v="23042.3"/>
    <n v="0.1598850885122651"/>
    <n v="41232.199999999997"/>
    <n v="3501.39"/>
    <n v="8.4918825578067625E-2"/>
    <n v="4161.88"/>
    <n v="0.10093761671703184"/>
    <n v="4157.04"/>
    <n v="0.10082023273072988"/>
    <n v="20555.38"/>
    <n v="0.49852736453548446"/>
    <n v="28.457625995315301"/>
    <n v="23.620994700625804"/>
    <n v="100.09435183686681"/>
    <n v="3.0931325418974122E-2"/>
  </r>
  <r>
    <x v="6"/>
    <x v="0"/>
    <x v="4"/>
    <n v="0"/>
    <n v="0"/>
    <n v="0"/>
    <n v="0"/>
    <n v="0"/>
    <n v="0"/>
    <n v="0"/>
    <n v="0"/>
    <n v="0"/>
    <n v="1123"/>
    <n v="0"/>
    <s v="$0.00"/>
    <s v="$0.00"/>
    <s v="$0.00"/>
    <s v="0.00%"/>
    <n v="0"/>
    <n v="-38.61"/>
    <n v="0"/>
    <n v="0"/>
    <s v="0.00%"/>
    <n v="0"/>
    <s v="0.00%"/>
    <n v="0"/>
    <n v="0"/>
    <n v="0"/>
    <s v="0.00%"/>
    <n v="-38.61"/>
    <n v="0"/>
    <n v="0"/>
    <n v="0"/>
    <n v="0"/>
    <n v="0"/>
    <n v="0"/>
    <n v="-38.61"/>
    <n v="1"/>
    <s v="0.00"/>
    <s v="0.00"/>
    <s v="0.00"/>
    <n v="0"/>
  </r>
  <r>
    <x v="6"/>
    <x v="0"/>
    <x v="5"/>
    <n v="333939.03001250903"/>
    <n v="19509"/>
    <n v="314430.03001250903"/>
    <n v="234578.790315866"/>
    <n v="112363.020254016"/>
    <n v="122215.770061851"/>
    <n v="7409.7300108671197"/>
    <n v="227169.06030499988"/>
    <n v="127634.62000603401"/>
    <n v="-1214.3000017404599"/>
    <n v="1588"/>
    <n v="210.28906172072357"/>
    <n v="130.67928841827171"/>
    <n v="147.7196412568432"/>
    <n v="0.70245993799251294"/>
    <n v="1.1722551897419866"/>
    <n v="310717.73"/>
    <n v="229289.23"/>
    <n v="8418.5300000000007"/>
    <n v="3.6715767242970813E-2"/>
    <n v="7201.32"/>
    <n v="3.1407144592007219E-2"/>
    <n v="8108.03"/>
    <n v="3.5361582399661771E-2"/>
    <n v="22598.93"/>
    <n v="9.8560800260875742E-2"/>
    <n v="81428.5"/>
    <n v="3868.28"/>
    <n v="4.7505234653714611E-2"/>
    <n v="8941.06"/>
    <n v="0.10980258754612943"/>
    <n v="8908.0400000000009"/>
    <n v="0.10939707841848985"/>
    <n v="49451.54"/>
    <n v="0.60730014675451471"/>
    <n v="25.655202848772966"/>
    <n v="19.992888660451928"/>
    <n v="126.68655326259324"/>
    <n v="3.5706322627842929E-2"/>
  </r>
  <r>
    <x v="6"/>
    <x v="0"/>
    <x v="6"/>
    <n v="0"/>
    <n v="0"/>
    <n v="0"/>
    <n v="557.52999925613403"/>
    <n v="402.25999927520797"/>
    <n v="155.269999980927"/>
    <n v="170"/>
    <n v="387.52999925613494"/>
    <n v="-5.2699999809260003"/>
    <n v="-39.899999618530003"/>
    <n v="0"/>
    <s v="$0.00"/>
    <s v="$0.00"/>
    <s v="$0.00"/>
    <s v="0.00%"/>
    <n v="0"/>
    <n v="6012.62"/>
    <n v="1027.0899999999999"/>
    <n v="0"/>
    <n v="0"/>
    <n v="0"/>
    <n v="0"/>
    <n v="0"/>
    <n v="0"/>
    <n v="1027.0899999999999"/>
    <n v="1"/>
    <n v="4985.53"/>
    <n v="0"/>
    <n v="0"/>
    <n v="0"/>
    <n v="0"/>
    <n v="0"/>
    <n v="0"/>
    <n v="4985.53"/>
    <n v="1"/>
    <s v="0.00"/>
    <s v="0.00"/>
    <s v="0.00"/>
    <n v="3.7635599182526307"/>
  </r>
  <r>
    <x v="6"/>
    <x v="0"/>
    <x v="7"/>
    <n v="0"/>
    <n v="0"/>
    <n v="0"/>
    <n v="0"/>
    <n v="0"/>
    <n v="0"/>
    <n v="0"/>
    <n v="0"/>
    <n v="0"/>
    <n v="-15"/>
    <n v="0"/>
    <s v="$0.00"/>
    <s v="$0.00"/>
    <s v="$0.00"/>
    <s v="0.00%"/>
    <n v="0"/>
    <n v="0"/>
    <n v="0"/>
    <n v="0"/>
    <s v="0.00%"/>
    <n v="0"/>
    <s v="0.00%"/>
    <n v="0"/>
    <n v="0"/>
    <n v="0"/>
    <s v="0.00%"/>
    <n v="0"/>
    <n v="0"/>
    <s v="0.00%"/>
    <n v="0"/>
    <s v="0.00%"/>
    <n v="0"/>
    <n v="0"/>
    <n v="0"/>
    <s v="0.00%"/>
    <s v="0.00"/>
    <s v="0.00"/>
    <s v="0.00"/>
    <n v="0"/>
  </r>
  <r>
    <x v="6"/>
    <x v="0"/>
    <x v="8"/>
    <n v="203730.13000768199"/>
    <n v="10966.110000610401"/>
    <n v="192764.02000707199"/>
    <n v="149656.64006531201"/>
    <n v="58010.1101191044"/>
    <n v="91646.529946208"/>
    <n v="4754.3699901104001"/>
    <n v="144902.27007520199"/>
    <n v="86584.040190275802"/>
    <n v="-523.98999901115894"/>
    <n v="1216"/>
    <n v="167.54122533526512"/>
    <n v="96.768157743764604"/>
    <n v="123.07289479055295"/>
    <n v="0.73458275444907939"/>
    <n v="1.3253836892627411"/>
    <n v="225927.82"/>
    <n v="165778.14000000001"/>
    <n v="5411.86"/>
    <n v="3.2645196767197404E-2"/>
    <n v="4955.49"/>
    <n v="2.989230063746643E-2"/>
    <n v="3822.47"/>
    <n v="2.3057744525303514E-2"/>
    <n v="16892.13"/>
    <n v="0.10189600390015234"/>
    <n v="60149.68"/>
    <n v="3377.9"/>
    <n v="5.6158237250804995E-2"/>
    <n v="5975.26"/>
    <n v="9.9339846862028194E-2"/>
    <n v="5967.79"/>
    <n v="9.9215656675147729E-2"/>
    <n v="34597.120000000003"/>
    <n v="0.57518377487627537"/>
    <n v="29.234081161128955"/>
    <n v="22.555021167121737"/>
    <n v="159.00410354965499"/>
    <n v="4.0404238677562876E-2"/>
  </r>
  <r>
    <x v="6"/>
    <x v="0"/>
    <x v="9"/>
    <n v="0"/>
    <n v="0"/>
    <n v="0"/>
    <n v="0"/>
    <n v="0"/>
    <n v="0"/>
    <n v="0"/>
    <n v="0"/>
    <n v="0"/>
    <n v="0"/>
    <n v="0"/>
    <s v="$0.00"/>
    <s v="$0.00"/>
    <s v="$0.00"/>
    <s v="0.00%"/>
    <s v="0.00%"/>
    <n v="0"/>
    <n v="0"/>
    <n v="0"/>
    <s v="0.00%"/>
    <n v="0"/>
    <s v="0.00%"/>
    <n v="0"/>
    <n v="0"/>
    <n v="0"/>
    <s v="0.00%"/>
    <n v="0"/>
    <n v="0"/>
    <s v="0.00%"/>
    <n v="0"/>
    <s v="0.00%"/>
    <n v="0"/>
    <n v="0"/>
    <n v="0"/>
    <s v="0.00%"/>
    <s v="0.00"/>
    <s v="0.00"/>
    <s v="0.00"/>
    <s v="0.00%"/>
  </r>
  <r>
    <x v="6"/>
    <x v="0"/>
    <x v="10"/>
    <n v="222439.50000654001"/>
    <n v="13541"/>
    <n v="208898.50000654001"/>
    <n v="149492.09004836"/>
    <n v="64879.390148282102"/>
    <n v="84612.6999000777"/>
    <n v="4867.4199924469003"/>
    <n v="144624.67005591289"/>
    <n v="84699.600153638006"/>
    <n v="-924.56000185012795"/>
    <n v="1351"/>
    <n v="164.64803849484827"/>
    <n v="102.63838627294753"/>
    <n v="110.6529163940487"/>
    <n v="0.67205730117161988"/>
    <n v="1.1173049134884214"/>
    <n v="250080.76"/>
    <n v="174394.15"/>
    <n v="4906.04"/>
    <n v="2.8131906947566763E-2"/>
    <n v="7635.05"/>
    <n v="4.3780424974117542E-2"/>
    <n v="2411.96"/>
    <n v="1.3830509796343513E-2"/>
    <n v="25500.83"/>
    <n v="0.14622526042301306"/>
    <n v="75686.61"/>
    <n v="5405.41"/>
    <n v="7.1418312961830363E-2"/>
    <n v="7001.58"/>
    <n v="9.2507512227063673E-2"/>
    <n v="5956.92"/>
    <n v="7.8705070817678316E-2"/>
    <n v="39572.74"/>
    <n v="0.52284994664181683"/>
    <n v="29.583985147080941"/>
    <n v="21.878996114744766"/>
    <n v="156.89595771144278"/>
    <n v="3.5102145117396427E-2"/>
  </r>
  <r>
    <x v="6"/>
    <x v="0"/>
    <x v="11"/>
    <n v="0"/>
    <n v="0"/>
    <n v="0"/>
    <n v="0"/>
    <n v="0"/>
    <n v="0"/>
    <n v="0"/>
    <n v="0"/>
    <n v="0"/>
    <n v="157"/>
    <n v="0"/>
    <s v="$0.00"/>
    <s v="$0.00"/>
    <s v="$0.00"/>
    <s v="0.00%"/>
    <n v="0"/>
    <n v="0"/>
    <n v="0"/>
    <n v="0"/>
    <s v="0.00%"/>
    <n v="0"/>
    <s v="0.00%"/>
    <n v="0"/>
    <n v="0"/>
    <n v="0"/>
    <s v="0.00%"/>
    <n v="0"/>
    <n v="0"/>
    <s v="0.00%"/>
    <n v="0"/>
    <s v="0.00%"/>
    <n v="0"/>
    <n v="0"/>
    <n v="0"/>
    <s v="0.00%"/>
    <s v="0.00"/>
    <s v="0.00"/>
    <s v="0.00"/>
    <n v="0"/>
  </r>
  <r>
    <x v="6"/>
    <x v="0"/>
    <x v="12"/>
    <n v="239371.82000936201"/>
    <n v="19639"/>
    <n v="219732.82000936201"/>
    <n v="171719.230047522"/>
    <n v="75973.130152702302"/>
    <n v="95746.099894819796"/>
    <n v="4195.3299992084503"/>
    <n v="167523.90004831366"/>
    <n v="83380.620156616002"/>
    <n v="-477.92999792098999"/>
    <n v="1355"/>
    <n v="176.65816974860664"/>
    <n v="115.47537258351808"/>
    <n v="126.73005907566207"/>
    <n v="0.71737445970376146"/>
    <n v="1.1277004331344747"/>
    <n v="279560.76"/>
    <n v="193835.63"/>
    <n v="11335.13"/>
    <n v="5.8478051738991427E-2"/>
    <n v="7423.52"/>
    <n v="3.8298015695050494E-2"/>
    <n v="5238.37"/>
    <n v="2.7024804469642654E-2"/>
    <n v="28341.48"/>
    <n v="0.14621398552990489"/>
    <n v="85725.13"/>
    <n v="6578.67"/>
    <n v="7.6741440928698501E-2"/>
    <n v="10295.17"/>
    <n v="0.12009512263206833"/>
    <n v="8478.8700000000008"/>
    <n v="9.8907636535517651E-2"/>
    <n v="47315.65"/>
    <n v="0.55194608628764985"/>
    <n v="32.705751286393209"/>
    <n v="24.49147924122137"/>
    <n v="135.35309380537186"/>
    <n v="2.6812509299517694E-2"/>
  </r>
  <r>
    <x v="6"/>
    <x v="0"/>
    <x v="13"/>
    <n v="154683.54000390699"/>
    <n v="9539"/>
    <n v="145144.54000390699"/>
    <n v="110797.14020388"/>
    <n v="45786.550117896899"/>
    <n v="65010.590085983298"/>
    <n v="2346.3599991798401"/>
    <n v="108450.78020470036"/>
    <n v="59628.050192832903"/>
    <n v="49.390000343322001"/>
    <n v="806"/>
    <n v="191.91506203958684"/>
    <n v="117.8735729661672"/>
    <n v="137.46543449612929"/>
    <n v="0.7162826775304062"/>
    <n v="1.1957419741218427"/>
    <n v="170525.21"/>
    <n v="114169.62"/>
    <n v="6371.11"/>
    <n v="5.5803899496205733E-2"/>
    <n v="4450.8599999999997"/>
    <n v="3.8984626558273554E-2"/>
    <n v="4712.0200000000004"/>
    <n v="4.1272100231217385E-2"/>
    <n v="12294.74"/>
    <n v="0.10768836753595221"/>
    <n v="56355.59"/>
    <n v="5426.66"/>
    <n v="9.6293198243510542E-2"/>
    <n v="5656.43"/>
    <n v="0.10037034480519147"/>
    <n v="6128.15"/>
    <n v="0.10874076555670875"/>
    <n v="30664.75"/>
    <n v="0.54412969503114073"/>
    <n v="31.531530935827519"/>
    <n v="22.419527432287044"/>
    <n v="178.52879619852163"/>
    <n v="2.4696940552808831E-2"/>
  </r>
  <r>
    <x v="6"/>
    <x v="0"/>
    <x v="14"/>
    <n v="0"/>
    <n v="0"/>
    <n v="0"/>
    <n v="621.069996356964"/>
    <n v="491.07999563217197"/>
    <n v="129.990000724792"/>
    <n v="25"/>
    <n v="596.069996356964"/>
    <n v="0"/>
    <n v="-2.389995574951"/>
    <n v="0"/>
    <s v="$0.00"/>
    <s v="$0.00"/>
    <s v="$0.00"/>
    <s v="0.00%"/>
    <n v="0"/>
    <n v="7619.4599999999991"/>
    <n v="1024.23"/>
    <n v="0"/>
    <n v="0"/>
    <n v="0"/>
    <n v="0"/>
    <n v="0"/>
    <n v="0"/>
    <n v="1024.23"/>
    <n v="1"/>
    <n v="6595.23"/>
    <n v="0"/>
    <n v="0"/>
    <n v="0"/>
    <n v="0"/>
    <n v="0"/>
    <n v="0"/>
    <n v="6595.23"/>
    <n v="1"/>
    <s v="0.00"/>
    <s v="0.00"/>
    <s v="0.00"/>
    <n v="10.460270413058213"/>
  </r>
  <r>
    <x v="6"/>
    <x v="0"/>
    <x v="15"/>
    <n v="0"/>
    <n v="0"/>
    <n v="0"/>
    <n v="0"/>
    <n v="0"/>
    <n v="0"/>
    <n v="0"/>
    <n v="0"/>
    <n v="0"/>
    <n v="0"/>
    <n v="0"/>
    <s v="$0.00"/>
    <s v="$0.00"/>
    <s v="$0.00"/>
    <s v="0.00%"/>
    <s v="0.00%"/>
    <n v="0"/>
    <n v="0"/>
    <n v="0"/>
    <s v="0.00%"/>
    <n v="0"/>
    <s v="0.00%"/>
    <n v="0"/>
    <n v="0"/>
    <n v="0"/>
    <s v="0.00%"/>
    <n v="0"/>
    <n v="0"/>
    <s v="0.00%"/>
    <n v="0"/>
    <s v="0.00%"/>
    <n v="0"/>
    <n v="0"/>
    <n v="0"/>
    <s v="0.00%"/>
    <s v="0.00"/>
    <s v="0.00"/>
    <s v="0.00"/>
    <s v="0.00%"/>
  </r>
  <r>
    <x v="6"/>
    <x v="0"/>
    <x v="16"/>
    <n v="123745.870004196"/>
    <n v="7874"/>
    <n v="115871.870004196"/>
    <n v="83815.370069444194"/>
    <n v="41121.250103712096"/>
    <n v="42694.119965732098"/>
    <n v="2924.9599976539598"/>
    <n v="80890.410071790233"/>
    <n v="42743.099977016398"/>
    <n v="-1485.7500033378601"/>
    <n v="619"/>
    <n v="199.91255251081745"/>
    <n v="133.26093704445469"/>
    <n v="135.40447507179999"/>
    <n v="0.67731852438066953"/>
    <n v="1.0534391627878956"/>
    <n v="110353.42"/>
    <n v="86464.69"/>
    <n v="4696"/>
    <n v="5.4311187607334277E-2"/>
    <n v="2241.8000000000002"/>
    <n v="2.5927346758543864E-2"/>
    <n v="1748.82"/>
    <n v="2.0225828601247515E-2"/>
    <n v="14788.72"/>
    <n v="0.17103768023686894"/>
    <n v="23888.73"/>
    <n v="2169.02"/>
    <n v="9.079678995074246E-2"/>
    <n v="3322.34"/>
    <n v="0.13907562268902535"/>
    <n v="2811.49"/>
    <n v="0.11769106185217883"/>
    <n v="11731.97"/>
    <n v="0.49110898737605557"/>
    <n v="25.614712247746212"/>
    <n v="21.290812803225123"/>
    <n v="96.685060934478571"/>
    <n v="3.5458994737350626E-2"/>
  </r>
  <r>
    <x v="6"/>
    <x v="1"/>
    <x v="17"/>
    <n v="620897.44044673501"/>
    <n v="24451"/>
    <n v="596446.44044673501"/>
    <n v="404426.88912628591"/>
    <n v="151955.53993850952"/>
    <n v="252471.3491877768"/>
    <n v="5824.0600042343094"/>
    <n v="398602.829122052"/>
    <n v="175460.56035050191"/>
    <n v="5666.8100156784049"/>
    <n v="2921"/>
    <n v="212.56331408652346"/>
    <n v="150.55462857944357"/>
    <n v="138.45494321338114"/>
    <n v="0.65135860253394129"/>
    <n v="0.93197512993645826"/>
    <n v="617723.16999999993"/>
    <n v="549112.12"/>
    <n v="15057.26"/>
    <n v="2.7421102998054388E-2"/>
    <n v="11401.02"/>
    <n v="2.0762644976767223E-2"/>
    <n v="12435.27"/>
    <n v="2.2646140099766874E-2"/>
    <n v="26215.55"/>
    <n v="4.7741707103460033E-2"/>
    <n v="68611.049999999988"/>
    <n v="3315.5299999999997"/>
    <n v="4.8323557211265536E-2"/>
    <n v="7252.2"/>
    <n v="0.1057001751175649"/>
    <n v="4386.43"/>
    <n v="6.3931830222682798E-2"/>
    <n v="30551.83"/>
    <n v="0.44529022657429096"/>
    <n v="30.093869252192018"/>
    <n v="27.749845697895108"/>
    <n v="92.891981948100764"/>
    <n v="1.3243420597421488E-2"/>
  </r>
  <r>
    <x v="6"/>
    <x v="2"/>
    <x v="18"/>
    <n v="0"/>
    <n v="0"/>
    <n v="0"/>
    <n v="0"/>
    <n v="0"/>
    <n v="0"/>
    <n v="0"/>
    <n v="0"/>
    <n v="0"/>
    <n v="7.550000190734"/>
    <n v="0"/>
    <s v="$0.00"/>
    <s v="$0.00"/>
    <s v="$0.00"/>
    <s v="0.00%"/>
    <n v="0"/>
    <n v="-30"/>
    <n v="0"/>
    <n v="0"/>
    <s v="0.00%"/>
    <n v="0"/>
    <s v="0.00%"/>
    <n v="0"/>
    <n v="0"/>
    <n v="0"/>
    <s v="0.00%"/>
    <n v="-30"/>
    <n v="0"/>
    <n v="0"/>
    <n v="0"/>
    <n v="0"/>
    <n v="0"/>
    <n v="0"/>
    <n v="-30"/>
    <n v="1"/>
    <s v="0.00"/>
    <s v="0.00"/>
    <s v="0.00"/>
    <n v="0"/>
  </r>
  <r>
    <x v="6"/>
    <x v="2"/>
    <x v="19"/>
    <n v="98721.5"/>
    <n v="7768"/>
    <n v="90953.5"/>
    <n v="65686.730361837894"/>
    <n v="29215.6601018906"/>
    <n v="36471.070259947301"/>
    <n v="1963.4300060272201"/>
    <n v="63723.300355810672"/>
    <n v="37832.1297383122"/>
    <n v="-118.089998245239"/>
    <n v="769"/>
    <n v="128.37646293888167"/>
    <n v="79.333498387429174"/>
    <n v="85.418374982884131"/>
    <n v="0.66537411163564064"/>
    <n v="1.1125041783117888"/>
    <n v="90071.31"/>
    <n v="64003.26"/>
    <n v="1539.16"/>
    <n v="2.4048150047356963E-2"/>
    <n v="2603.0700000000002"/>
    <n v="4.0670897076180185E-2"/>
    <n v="218.8"/>
    <n v="3.4185758662918109E-3"/>
    <n v="6581.5"/>
    <n v="0.10283069956124109"/>
    <n v="26068.05"/>
    <n v="334.03"/>
    <n v="1.2813770113222892E-2"/>
    <n v="1579.65"/>
    <n v="6.0597167797361143E-2"/>
    <n v="2188.59"/>
    <n v="8.3956797689125201E-2"/>
    <n v="15758.58"/>
    <n v="0.60451702371293592"/>
    <n v="25.641544561408335"/>
    <n v="19.477565927855423"/>
    <n v="114.98355714565771"/>
    <n v="3.2183441134275716E-2"/>
  </r>
  <r>
    <x v="6"/>
    <x v="2"/>
    <x v="20"/>
    <n v="0"/>
    <n v="0"/>
    <n v="0"/>
    <n v="0"/>
    <n v="0"/>
    <n v="0"/>
    <n v="0"/>
    <n v="0"/>
    <n v="0"/>
    <n v="1229.8400182723999"/>
    <n v="0"/>
    <s v="$0.00"/>
    <s v="$0.00"/>
    <s v="$0.00"/>
    <s v="0.00%"/>
    <n v="0"/>
    <n v="-123.58"/>
    <n v="-123.58"/>
    <n v="0"/>
    <n v="0"/>
    <n v="0"/>
    <n v="0"/>
    <n v="0"/>
    <n v="0"/>
    <n v="-123.58"/>
    <n v="0"/>
    <n v="0"/>
    <n v="0"/>
    <s v="0.00%"/>
    <n v="0"/>
    <s v="0.00%"/>
    <n v="0"/>
    <n v="0"/>
    <n v="0"/>
    <s v="0.00%"/>
    <s v="0.00"/>
    <s v="0.00"/>
    <s v="0.00"/>
    <n v="0"/>
  </r>
  <r>
    <x v="6"/>
    <x v="2"/>
    <x v="21"/>
    <n v="179227.55000091501"/>
    <n v="10138"/>
    <n v="169089.55000091501"/>
    <n v="122567.16077782599"/>
    <n v="60401.400292635"/>
    <n v="62165.760485190898"/>
    <n v="6733.67001080513"/>
    <n v="115833.49076702076"/>
    <n v="69208.119494896397"/>
    <n v="-590.85000129044101"/>
    <n v="889"/>
    <n v="201.60579302690104"/>
    <n v="124.42101294410467"/>
    <n v="137.87082202230135"/>
    <n v="0.68386339475822855"/>
    <n v="1.1799303056962087"/>
    <n v="129785.23000000001"/>
    <n v="100170.08"/>
    <n v="1948.58"/>
    <n v="1.9452714822629669E-2"/>
    <n v="5032.8100000000004"/>
    <n v="5.0242647305462872E-2"/>
    <n v="1319.5"/>
    <n v="1.3172596048640472E-2"/>
    <n v="9805.7000000000007"/>
    <n v="9.7890507824292455E-2"/>
    <n v="29615.15"/>
    <n v="846"/>
    <n v="2.8566460071956411E-2"/>
    <n v="2627.24"/>
    <n v="8.8712702788944164E-2"/>
    <n v="4570.84"/>
    <n v="0.15434127465165634"/>
    <n v="17931.400000000001"/>
    <n v="0.60548064082066111"/>
    <n v="19.754047313399422"/>
    <n v="16.215100703015704"/>
    <n v="75.456883616906836"/>
    <n v="6.087743363384901E-2"/>
  </r>
  <r>
    <x v="6"/>
    <x v="2"/>
    <x v="22"/>
    <n v="0"/>
    <n v="0"/>
    <n v="0"/>
    <n v="0"/>
    <n v="0"/>
    <n v="0"/>
    <n v="205"/>
    <n v="-205"/>
    <n v="0"/>
    <n v="3022.7300186157199"/>
    <n v="0"/>
    <s v="$0.00"/>
    <s v="$0.00"/>
    <s v="$0.00"/>
    <s v="0.00%"/>
    <n v="0"/>
    <n v="-115.55"/>
    <n v="-115.55"/>
    <n v="0"/>
    <n v="0"/>
    <n v="0"/>
    <n v="0"/>
    <n v="0"/>
    <n v="0"/>
    <n v="-115.55"/>
    <n v="0"/>
    <n v="0"/>
    <n v="0"/>
    <s v="0.00%"/>
    <n v="0"/>
    <s v="0.00%"/>
    <n v="0"/>
    <n v="0"/>
    <n v="0"/>
    <s v="0.00%"/>
    <s v="0.00"/>
    <s v="0.00"/>
    <s v="0.00"/>
    <n v="-6.7819487263993616E-2"/>
  </r>
  <r>
    <x v="6"/>
    <x v="2"/>
    <x v="23"/>
    <n v="129215.429998169"/>
    <n v="7029"/>
    <n v="122186.429998169"/>
    <n v="78306.730436086698"/>
    <n v="37453.6602284908"/>
    <n v="40853.070207595803"/>
    <n v="2559.9200024604802"/>
    <n v="75746.810433626117"/>
    <n v="45109.549690246597"/>
    <n v="-298.61000084877003"/>
    <n v="683"/>
    <n v="189.18803806466912"/>
    <n v="123.57904876833261"/>
    <n v="114.65114265898477"/>
    <n v="0.60601686994499193"/>
    <n v="0.95677367653121748"/>
    <n v="104961.78"/>
    <n v="77688.11"/>
    <n v="1380.71"/>
    <n v="1.7772475093035471E-2"/>
    <n v="2762"/>
    <n v="3.5552415935977848E-2"/>
    <n v="851.45"/>
    <n v="1.0959849583160153E-2"/>
    <n v="9629.92"/>
    <n v="0.12395616266118457"/>
    <n v="27273.67"/>
    <n v="1103.2"/>
    <n v="4.0449268470286549E-2"/>
    <n v="3070.28"/>
    <n v="0.11257304205851286"/>
    <n v="4950.7299999999996"/>
    <n v="0.18152049210832277"/>
    <n v="12013.24"/>
    <n v="0.44047024107866672"/>
    <n v="24.051037011638133"/>
    <n v="18.686434450738837"/>
    <n v="131.96937096774192"/>
    <n v="3.0329192121126496E-2"/>
  </r>
  <r>
    <x v="6"/>
    <x v="2"/>
    <x v="24"/>
    <n v="104610.51"/>
    <n v="8865"/>
    <n v="95745.509999999806"/>
    <n v="71168.410464674205"/>
    <n v="38555.620170593298"/>
    <n v="32612.790294081002"/>
    <n v="2499.21000242233"/>
    <n v="68669.20046225196"/>
    <n v="37085.359689325101"/>
    <n v="-29.110000610351001"/>
    <n v="541"/>
    <n v="193.36508317929724"/>
    <n v="124.86924271956573"/>
    <n v="131.5497420788804"/>
    <n v="0.68031797631685786"/>
    <n v="1.0939721071121624"/>
    <n v="73880.91"/>
    <n v="56682.85"/>
    <n v="990.12"/>
    <n v="1.7467717307792393E-2"/>
    <n v="2816.97"/>
    <n v="4.9697042403478296E-2"/>
    <n v="834"/>
    <n v="1.4713445072010318E-2"/>
    <n v="3960.26"/>
    <n v="6.9866987986666171E-2"/>
    <n v="17198.060000000001"/>
    <n v="1948.78"/>
    <n v="0.11331394354944685"/>
    <n v="2650.16"/>
    <n v="0.15409645041359313"/>
    <n v="1146.23"/>
    <n v="6.6648796434016389E-2"/>
    <n v="9353.89"/>
    <n v="0.54389215992966644"/>
    <n v="21.922971240242131"/>
    <n v="18.060424184167591"/>
    <n v="74.286110577846046"/>
    <n v="3.6995594221684136E-2"/>
  </r>
  <r>
    <x v="6"/>
    <x v="2"/>
    <x v="25"/>
    <n v="92413.550003051801"/>
    <n v="6425"/>
    <n v="85988.550003051801"/>
    <n v="58693.310364723198"/>
    <n v="30464.650134086602"/>
    <n v="28228.6602306366"/>
    <n v="1673.97000002861"/>
    <n v="57019.340364694595"/>
    <n v="29747.399676322901"/>
    <n v="213"/>
    <n v="430"/>
    <n v="214.91523256523675"/>
    <n v="145.23988448076489"/>
    <n v="136.49607061563538"/>
    <n v="0.6351158500326517"/>
    <n v="0.96568117650213259"/>
    <n v="52039.47"/>
    <n v="46038.54"/>
    <n v="1174.5"/>
    <n v="2.5511234717695216E-2"/>
    <n v="2549.08"/>
    <n v="5.5368393524208193E-2"/>
    <n v="1795.12"/>
    <n v="3.8991679579760782E-2"/>
    <n v="714.08"/>
    <n v="1.5510483173445553E-2"/>
    <n v="6000.93"/>
    <n v="-12.63"/>
    <n v="0"/>
    <n v="1556.33"/>
    <n v="0.25934813437250559"/>
    <n v="1671.85"/>
    <n v="0.27859848390166186"/>
    <n v="1903.45"/>
    <n v="0.3171925018288832"/>
    <n v="17.368088182194988"/>
    <n v="16.553596905570821"/>
    <n v="27.899767537968799"/>
    <n v="2.680361184777862E-2"/>
  </r>
  <r>
    <x v="6"/>
    <x v="2"/>
    <x v="26"/>
    <n v="100141"/>
    <n v="7992"/>
    <n v="92149"/>
    <n v="63052.220372671298"/>
    <n v="33389.330123901404"/>
    <n v="29662.890248769902"/>
    <n v="2636.9799985885602"/>
    <n v="60415.240374082743"/>
    <n v="36511.929678192399"/>
    <n v="-13.060000419615999"/>
    <n v="472"/>
    <n v="212.16313559322035"/>
    <n v="134.83502186912546"/>
    <n v="133.58521265396462"/>
    <n v="0.62963441919564722"/>
    <n v="1.0335556922353724"/>
    <n v="63476.62"/>
    <n v="54250.76"/>
    <n v="453.06"/>
    <n v="8.3512194114884284E-3"/>
    <n v="1549"/>
    <n v="2.8552595392212016E-2"/>
    <n v="441.45"/>
    <n v="8.137213192958034E-3"/>
    <n v="3701.77"/>
    <n v="6.8234435794079201E-2"/>
    <n v="9225.86"/>
    <n v="1087.2"/>
    <n v="0.11784267266141042"/>
    <n v="1257.27"/>
    <n v="0.13627672650571329"/>
    <n v="1393.65"/>
    <n v="0.15105908825843878"/>
    <n v="6464.21"/>
    <n v="0.70066205210137589"/>
    <n v="19.190882454696101"/>
    <n v="17.504070961430877"/>
    <n v="44.286489946130466"/>
    <n v="4.1434502353036202E-2"/>
  </r>
  <r>
    <x v="6"/>
    <x v="2"/>
    <x v="27"/>
    <n v="122592.49000121999"/>
    <n v="9677"/>
    <n v="112915.49000121999"/>
    <n v="81302.070512542501"/>
    <n v="40516.190182685903"/>
    <n v="40785.880329856598"/>
    <n v="3150.4199910163902"/>
    <n v="78151.650521526113"/>
    <n v="41513.559540023998"/>
    <n v="387.94999694824202"/>
    <n v="681"/>
    <n v="180.01834067726872"/>
    <n v="118.4889580972801"/>
    <n v="119.38630031210353"/>
    <n v="0.66318964980426953"/>
    <n v="1.0485102250532441"/>
    <n v="84760.28"/>
    <n v="66085.440000000002"/>
    <n v="2237.41"/>
    <n v="3.3856322966148059E-2"/>
    <n v="467.63"/>
    <n v="7.0761426420101001E-3"/>
    <n v="1848"/>
    <n v="2.7963799590348493E-2"/>
    <n v="5298.23"/>
    <n v="8.0172425272495712E-2"/>
    <n v="18674.84"/>
    <n v="1746.26"/>
    <n v="9.3508699405189008E-2"/>
    <n v="1494.76"/>
    <n v="8.0041381880647966E-2"/>
    <n v="3128.34"/>
    <n v="0.16751629465098497"/>
    <n v="10904.9"/>
    <n v="0.58393539114659077"/>
    <n v="21.455005948758938"/>
    <n v="17.87018358673085"/>
    <n v="73.95325383904607"/>
    <n v="3.9043025290940246E-2"/>
  </r>
  <r>
    <x v="6"/>
    <x v="3"/>
    <x v="28"/>
    <n v="106605.76000028499"/>
    <n v="5627"/>
    <n v="100978.76000028499"/>
    <n v="71120.520164281101"/>
    <n v="36554.610147386797"/>
    <n v="34565.910016894297"/>
    <n v="1241.24999904633"/>
    <n v="69879.270165234775"/>
    <n v="47990.220043182402"/>
    <n v="-124.710000991821"/>
    <n v="491"/>
    <n v="217.119674135"/>
    <n v="119.63391030161795"/>
    <n v="144.84830990688616"/>
    <n v="0.66713581108648323"/>
    <n v="1.236900123740144"/>
    <n v="79063.31"/>
    <n v="59631.78"/>
    <n v="1919.98"/>
    <n v="3.2197261259013232E-2"/>
    <n v="1641.38"/>
    <n v="2.7525255828351931E-2"/>
    <n v="2740.27"/>
    <n v="4.5953181340553644E-2"/>
    <n v="3594.15"/>
    <n v="6.027239166766446E-2"/>
    <n v="19431.53"/>
    <n v="93.7"/>
    <n v="4.8220598172145999E-3"/>
    <n v="1505.59"/>
    <n v="7.7481804057632109E-2"/>
    <n v="2527.33"/>
    <n v="0.13006335579339354"/>
    <n v="12468.06"/>
    <n v="0.64164067368858757"/>
    <n v="21.789907102630707"/>
    <n v="17.279712776442459"/>
    <n v="109.49397069872276"/>
    <n v="2.1131166447739734E-2"/>
  </r>
  <r>
    <x v="6"/>
    <x v="3"/>
    <x v="29"/>
    <n v="145696.80000692201"/>
    <n v="6034"/>
    <n v="139662.80000692201"/>
    <n v="106280.030379195"/>
    <n v="52243.3701314926"/>
    <n v="54036.660247702202"/>
    <n v="4143.2799904346502"/>
    <n v="102136.75038876015"/>
    <n v="65905.210051536604"/>
    <n v="-441.41999769210798"/>
    <n v="679"/>
    <n v="214.57555229296321"/>
    <n v="118.1634903579934"/>
    <n v="156.52434518290838"/>
    <n v="0.72946029270475032"/>
    <n v="1.3967723427507786"/>
    <n v="120499.98"/>
    <n v="87372.54"/>
    <n v="3997.39"/>
    <n v="4.5751102119727778E-2"/>
    <n v="2720.69"/>
    <n v="3.1138959677720256E-2"/>
    <n v="1221.1300000000001"/>
    <n v="1.397613025785905E-2"/>
    <n v="5166.67"/>
    <n v="5.9133796499449373E-2"/>
    <n v="33127.440000000002"/>
    <n v="1003.83"/>
    <n v="3.0302069824894407E-2"/>
    <n v="2515.36"/>
    <n v="7.5929803208458005E-2"/>
    <n v="3952.98"/>
    <n v="0.11932645565126673"/>
    <n v="24692.31"/>
    <n v="0.74537332193492767"/>
    <n v="20.90341550604224"/>
    <n v="15.915218047761348"/>
    <n v="120.5803445765591"/>
    <n v="5.1640590236584107E-2"/>
  </r>
  <r>
    <x v="6"/>
    <x v="3"/>
    <x v="30"/>
    <n v="130060.49000240301"/>
    <n v="4664"/>
    <n v="125396.49000240301"/>
    <n v="94856.540257902801"/>
    <n v="36085.580091416799"/>
    <n v="58770.960166486002"/>
    <n v="3001.3800048828102"/>
    <n v="91855.160253019989"/>
    <n v="77973.1101729777"/>
    <n v="628.81000137329102"/>
    <n v="556"/>
    <n v="233.92174460863851"/>
    <n v="92.551384582827367"/>
    <n v="170.60528823363813"/>
    <n v="0.729326333125073"/>
    <n v="1.9575328367999649"/>
    <n v="118294.79999999999"/>
    <n v="88335.7"/>
    <n v="3803.29"/>
    <n v="4.3054959659571387E-2"/>
    <n v="2717.57"/>
    <n v="3.0764119150015229E-2"/>
    <n v="802.96"/>
    <n v="9.0898696676428685E-3"/>
    <n v="4381.93"/>
    <n v="4.9605425665953863E-2"/>
    <n v="29959.1"/>
    <n v="3095.22"/>
    <n v="0.10331485258235394"/>
    <n v="2783.05"/>
    <n v="9.2894980156279741E-2"/>
    <n v="2766.01"/>
    <n v="9.2326204725776156E-2"/>
    <n v="15664.84"/>
    <n v="0.52287418513907291"/>
    <n v="21.077378761003438"/>
    <n v="16.284061887881357"/>
    <n v="159.58327414772725"/>
    <n v="5.8326144992211663E-2"/>
  </r>
  <r>
    <x v="6"/>
    <x v="3"/>
    <x v="31"/>
    <n v="211126.23000415601"/>
    <n v="11603"/>
    <n v="199523.23000415601"/>
    <n v="149732.820628569"/>
    <n v="69248.210294082804"/>
    <n v="80484.610334485798"/>
    <n v="3094.1199970245402"/>
    <n v="146638.70063154405"/>
    <n v="84822.950216213198"/>
    <n v="424.12001037597702"/>
    <n v="1424"/>
    <n v="148.26280196921067"/>
    <n v="88.398286360650872"/>
    <n v="105.14945268860154"/>
    <n v="0.70920993864959891"/>
    <n v="1.2194712067218525"/>
    <n v="177974.05"/>
    <n v="126984.46"/>
    <n v="4540.04"/>
    <n v="3.575272123848855E-2"/>
    <n v="2276.1"/>
    <n v="1.7924240493679303E-2"/>
    <n v="1781.41"/>
    <n v="1.4028566960083148E-2"/>
    <n v="8196.77"/>
    <n v="6.4549394469212998E-2"/>
    <n v="50989.59"/>
    <n v="4257.95"/>
    <n v="8.3506260787741191E-2"/>
    <n v="5953.32"/>
    <n v="0.11675559658353793"/>
    <n v="6761.37"/>
    <n v="0.13260294895487493"/>
    <n v="26980.79"/>
    <n v="0.52914310548486476"/>
    <n v="24.886037721450457"/>
    <n v="18.932759455785092"/>
    <n v="114.72944573614339"/>
    <n v="2.4580081424851942E-2"/>
  </r>
  <r>
    <x v="6"/>
    <x v="3"/>
    <x v="32"/>
    <n v="41025.969999790199"/>
    <n v="1469"/>
    <n v="39556.969999790199"/>
    <n v="22085.930137038202"/>
    <n v="10171.2100448608"/>
    <n v="11914.7200921774"/>
    <n v="170.48000335693399"/>
    <n v="21915.450133681268"/>
    <n v="18800.869972229"/>
    <n v="40"/>
    <n v="178"/>
    <n v="230.48297752691124"/>
    <n v="124.63539341326516"/>
    <n v="124.07825919684383"/>
    <n v="0.53834023027733768"/>
    <n v="1.003239216155243"/>
    <n v="32407.15"/>
    <n v="31339.58"/>
    <n v="364.69"/>
    <n v="1.1636722636359516E-2"/>
    <n v="0"/>
    <n v="0"/>
    <n v="0"/>
    <n v="0"/>
    <n v="0"/>
    <n v="0"/>
    <n v="1067.57"/>
    <n v="206.47"/>
    <n v="0.19340183781859738"/>
    <n v="459.61"/>
    <n v="0.43051977856252988"/>
    <n v="0"/>
    <n v="0"/>
    <n v="0"/>
    <n v="0"/>
    <n v="21.921203295210319"/>
    <n v="21.903493958767566"/>
    <n v="22.454148165459216"/>
    <n v="7.6844369935290665E-3"/>
  </r>
  <r>
    <x v="6"/>
    <x v="3"/>
    <x v="33"/>
    <n v="120206.9300049"/>
    <n v="8709"/>
    <n v="111497.9300049"/>
    <n v="76040.830282680705"/>
    <n v="36555.9001026154"/>
    <n v="39484.930180065297"/>
    <n v="1775.4200006723399"/>
    <n v="74265.41028200835"/>
    <n v="54817.039944074997"/>
    <n v="35.479999542236001"/>
    <n v="508"/>
    <n v="236.62781497027558"/>
    <n v="128.65041350646214"/>
    <n v="149.6866737848045"/>
    <n v="0.63258274942701753"/>
    <n v="1.1960056334677585"/>
    <n v="69142.62"/>
    <n v="51785.52"/>
    <n v="760.61"/>
    <n v="1.4687696483495773E-2"/>
    <n v="1080.83"/>
    <n v="2.08712783032786E-2"/>
    <n v="1500.36"/>
    <n v="2.8972577662636195E-2"/>
    <n v="2120.5700000000002"/>
    <n v="4.0949091560729727E-2"/>
    <n v="17357.099999999999"/>
    <n v="1348"/>
    <n v="7.7662743200188983E-2"/>
    <n v="1400.43"/>
    <n v="8.0683409094837288E-2"/>
    <n v="1583.67"/>
    <n v="9.1240472198696798E-2"/>
    <n v="8047.35"/>
    <n v="0.46363447810982256"/>
    <n v="18.003737052507248"/>
    <n v="14.378195006271564"/>
    <n v="72.688055465078392"/>
    <n v="2.716603208578473E-2"/>
  </r>
  <r>
    <x v="6"/>
    <x v="3"/>
    <x v="34"/>
    <n v="73543.830005645796"/>
    <n v="2768"/>
    <n v="70775.830005645796"/>
    <n v="47797.4601255655"/>
    <n v="19145.3200781345"/>
    <n v="28652.140047430999"/>
    <n v="1082.86999893188"/>
    <n v="46714.590126633622"/>
    <n v="34626.2700691223"/>
    <n v="141"/>
    <n v="394"/>
    <n v="186.65946701940558"/>
    <n v="98.417664813511408"/>
    <n v="121.31335057250126"/>
    <n v="0.64991801653376213"/>
    <n v="1.2680493792118099"/>
    <n v="48986"/>
    <n v="41862.14"/>
    <n v="1114.8499999999999"/>
    <n v="2.6631462223383705E-2"/>
    <n v="1570.41"/>
    <n v="3.7513849029218289E-2"/>
    <n v="-681.98"/>
    <n v="0"/>
    <n v="306.99"/>
    <n v="7.3333565842548902E-3"/>
    <n v="7123.86"/>
    <n v="433.56"/>
    <n v="6.0860263958022763E-2"/>
    <n v="1048.83"/>
    <n v="0.14722776696903084"/>
    <n v="1776"/>
    <n v="0.249303046382158"/>
    <n v="1982.21"/>
    <n v="0.27824943218985215"/>
    <n v="18.151976202767102"/>
    <n v="16.167473138808244"/>
    <n v="65.13078017066232"/>
    <n v="2.7925891329827039E-2"/>
  </r>
  <r>
    <x v="6"/>
    <x v="3"/>
    <x v="35"/>
    <n v="100366.570004711"/>
    <n v="5362"/>
    <n v="95004.570004710899"/>
    <n v="58584.300164222703"/>
    <n v="29729.580150604201"/>
    <n v="28854.720013618498"/>
    <n v="895.48999786376999"/>
    <n v="57688.810166358933"/>
    <n v="42031.580032348596"/>
    <n v="0"/>
    <n v="490"/>
    <n v="204.82973470349162"/>
    <n v="119.05099994359654"/>
    <n v="119.55979625351571"/>
    <n v="0.58370332035331018"/>
    <n v="1.0199305389189048"/>
    <n v="57316.670000000006"/>
    <n v="49661.73"/>
    <n v="1866.34"/>
    <n v="3.7581050841362144E-2"/>
    <n v="1398.25"/>
    <n v="2.815548310540128E-2"/>
    <n v="139"/>
    <n v="2.7989359210804777E-3"/>
    <n v="0"/>
    <n v="0"/>
    <n v="7654.94"/>
    <n v="2213.71"/>
    <n v="0.28918711315830042"/>
    <n v="1539.09"/>
    <n v="0.20105840150282039"/>
    <n v="178.04"/>
    <n v="2.3258183604313032E-2"/>
    <n v="0"/>
    <n v="0"/>
    <n v="17.732720326722358"/>
    <n v="16.416260868343713"/>
    <n v="36.962530178657651"/>
    <n v="1.5350821150188416E-2"/>
  </r>
  <r>
    <x v="6"/>
    <x v="3"/>
    <x v="36"/>
    <n v="61904.000000953703"/>
    <n v="4532"/>
    <n v="57372.000000953703"/>
    <n v="32604.130084991499"/>
    <n v="16231.200044155101"/>
    <n v="16372.9300408363"/>
    <n v="0"/>
    <n v="32604.130084991401"/>
    <n v="21662.789930343599"/>
    <n v="289.870000839233"/>
    <n v="292"/>
    <n v="212.00000000326611"/>
    <n v="136.81965777318791"/>
    <n v="111.65797974312123"/>
    <n v="0.52668858368585381"/>
    <n v="0.8160960315236403"/>
    <n v="36121.21"/>
    <n v="33312.43"/>
    <n v="0"/>
    <n v="0"/>
    <n v="0"/>
    <n v="0"/>
    <n v="0"/>
    <n v="0"/>
    <n v="0"/>
    <n v="0"/>
    <n v="2808.78"/>
    <n v="0"/>
    <n v="0"/>
    <n v="0"/>
    <n v="0"/>
    <n v="0"/>
    <n v="0"/>
    <n v="0"/>
    <n v="0"/>
    <n v="26.634086309597578"/>
    <n v="26.503594683395846"/>
    <n v="28.28580060422961"/>
    <n v="0"/>
  </r>
  <r>
    <x v="6"/>
    <x v="4"/>
    <x v="37"/>
    <n v="66774.310000419602"/>
    <n v="4419"/>
    <n v="62355.310000419602"/>
    <n v="40143.800073117003"/>
    <n v="19705.120029449499"/>
    <n v="20438.680043667599"/>
    <n v="1667.50999951363"/>
    <n v="38476.290073603464"/>
    <n v="24566.2400016785"/>
    <n v="618"/>
    <n v="304"/>
    <n v="219.65233552769607"/>
    <n v="136.80944078533258"/>
    <n v="132.05197392472729"/>
    <n v="0.60118629564071635"/>
    <n v="1.0055417306378625"/>
    <n v="44531.619999999995"/>
    <n v="38600.699999999997"/>
    <n v="2324.89"/>
    <n v="6.0229218641112726E-2"/>
    <n v="1766.19"/>
    <n v="4.5755387855660655E-2"/>
    <n v="772.43"/>
    <n v="2.0010777006634596E-2"/>
    <n v="161.59"/>
    <n v="4.1861935146253826E-3"/>
    <n v="5930.92"/>
    <n v="1283.82"/>
    <n v="0.21646220147970296"/>
    <n v="1722.84"/>
    <n v="0.29048444423462128"/>
    <n v="661.7"/>
    <n v="0.11156785119340676"/>
    <n v="265"/>
    <n v="4.4681095007182696E-2"/>
    <n v="20.137208601970176"/>
    <n v="18.643790281246218"/>
    <n v="42.069892812105927"/>
    <n v="4.0093945491414269E-2"/>
  </r>
  <r>
    <x v="6"/>
    <x v="4"/>
    <x v="38"/>
    <n v="142091.71000387101"/>
    <n v="5863"/>
    <n v="136228.71000387101"/>
    <n v="97042.340126872106"/>
    <n v="44156.080110311501"/>
    <n v="52886.260016560598"/>
    <n v="2008.0800011158001"/>
    <n v="95034.260125756293"/>
    <n v="62564.7400436401"/>
    <n v="389"/>
    <n v="621"/>
    <n v="228.81112722040419"/>
    <n v="127.43634454143462"/>
    <n v="156.26785849737857"/>
    <n v="0.68295567788035183"/>
    <n v="1.258167750249769"/>
    <n v="125129.11"/>
    <n v="102920.12"/>
    <n v="6406.99"/>
    <n v="6.2252064999535561E-2"/>
    <n v="7554.48"/>
    <n v="7.3401391292586909E-2"/>
    <n v="1281.6199999999999"/>
    <n v="1.2452570012549537E-2"/>
    <n v="7885.95"/>
    <n v="7.662204435828486E-2"/>
    <n v="22208.99"/>
    <n v="1552.43"/>
    <n v="6.9900972534095426E-2"/>
    <n v="3441.02"/>
    <n v="0.1549381579261371"/>
    <n v="2682.51"/>
    <n v="0.12078487135164634"/>
    <n v="7950.11"/>
    <n v="0.35796810210639923"/>
    <n v="23.168274685098531"/>
    <n v="19.989951514508363"/>
    <n v="88.029996476702195"/>
    <n v="2.5374418905677237E-2"/>
  </r>
  <r>
    <x v="6"/>
    <x v="4"/>
    <x v="39"/>
    <n v="0"/>
    <n v="0"/>
    <n v="0"/>
    <n v="0"/>
    <n v="0"/>
    <n v="0"/>
    <n v="0"/>
    <n v="0"/>
    <n v="0"/>
    <n v="0"/>
    <n v="0"/>
    <s v="$0.00"/>
    <s v="$0.00"/>
    <s v="$0.00"/>
    <s v="0.00%"/>
    <s v="0.00%"/>
    <n v="0"/>
    <n v="0"/>
    <n v="0"/>
    <s v="0.00%"/>
    <n v="0"/>
    <s v="0.00%"/>
    <n v="0"/>
    <n v="0"/>
    <n v="0"/>
    <s v="0.00%"/>
    <n v="0"/>
    <n v="0"/>
    <s v="0.00%"/>
    <n v="0"/>
    <s v="0.00%"/>
    <n v="0"/>
    <n v="0"/>
    <n v="0"/>
    <s v="0.00%"/>
    <s v="0.00"/>
    <s v="0.00"/>
    <s v="0.00"/>
    <s v="0.00%"/>
  </r>
  <r>
    <x v="6"/>
    <x v="4"/>
    <x v="40"/>
    <n v="201765.77000652099"/>
    <n v="11935"/>
    <n v="189830.77000652099"/>
    <n v="143000.67017215499"/>
    <n v="65384.480149269097"/>
    <n v="77616.190022885799"/>
    <n v="5866.3599991798401"/>
    <n v="137134.31017297506"/>
    <n v="72636.510056406303"/>
    <n v="603.49000221490905"/>
    <n v="1092"/>
    <n v="184.76718865066024"/>
    <n v="117.69759152738075"/>
    <n v="130.95299466314552"/>
    <n v="0.70874593925190177"/>
    <n v="1.1658353014411125"/>
    <n v="175610.52000000002"/>
    <n v="131956.32"/>
    <n v="3698.65"/>
    <n v="2.8029350924608992E-2"/>
    <n v="3478.41"/>
    <n v="2.6360313776558786E-2"/>
    <n v="-112.69"/>
    <n v="0"/>
    <n v="13500.86"/>
    <n v="0.10231309875874077"/>
    <n v="43654.2"/>
    <n v="2586.94"/>
    <n v="5.9259819215562309E-2"/>
    <n v="5016.2700000000004"/>
    <n v="0.11490921835699659"/>
    <n v="3451.59"/>
    <n v="7.9066619019475801E-2"/>
    <n v="24675.88"/>
    <n v="0.56525786751332063"/>
    <n v="23.737892769346434"/>
    <n v="18.754425921731521"/>
    <n v="120.62873810254835"/>
    <n v="4.5643453461184272E-2"/>
  </r>
  <r>
    <x v="6"/>
    <x v="4"/>
    <x v="41"/>
    <n v="0"/>
    <n v="0"/>
    <n v="0"/>
    <n v="25"/>
    <n v="25"/>
    <n v="0"/>
    <n v="314.65999603271501"/>
    <n v="-289.65999603271501"/>
    <n v="0"/>
    <n v="1095.98999500275"/>
    <n v="0"/>
    <s v="$0.00"/>
    <s v="$0.00"/>
    <s v="$0.00"/>
    <s v="0.00%"/>
    <n v="-1.7722326699657901E-2"/>
    <n v="-100"/>
    <n v="-25"/>
    <n v="0"/>
    <n v="0"/>
    <n v="0"/>
    <n v="0"/>
    <n v="0"/>
    <n v="0"/>
    <n v="-25"/>
    <n v="0"/>
    <n v="-75"/>
    <n v="0"/>
    <n v="0"/>
    <n v="0"/>
    <n v="0"/>
    <n v="0"/>
    <n v="0"/>
    <n v="-75"/>
    <n v="1"/>
    <s v="0.00"/>
    <s v="0.00"/>
    <s v="0.00"/>
    <n v="-0.28710115737135494"/>
  </r>
  <r>
    <x v="6"/>
    <x v="4"/>
    <x v="42"/>
    <n v="234976.19000279499"/>
    <n v="8404"/>
    <n v="226572.19000279499"/>
    <n v="166047.85004886999"/>
    <n v="52364.080103874199"/>
    <n v="113683.76994499601"/>
    <n v="3391.3899955749498"/>
    <n v="162656.46005329525"/>
    <n v="103338.230210323"/>
    <n v="-180.600001811981"/>
    <n v="1090"/>
    <n v="215.57448624109631"/>
    <n v="120.93445852686602"/>
    <n v="152.33747710905521"/>
    <n v="0.70665819395103435"/>
    <n v="1.2929339664583916"/>
    <n v="269672.51"/>
    <n v="205895.6"/>
    <n v="7611.43"/>
    <n v="3.6967424267444281E-2"/>
    <n v="7403.14"/>
    <n v="3.5955795072842744E-2"/>
    <n v="6816.24"/>
    <n v="3.3105321337609933E-2"/>
    <n v="21811.15"/>
    <n v="0.10593305539312156"/>
    <n v="63776.91"/>
    <n v="5391.58"/>
    <n v="8.4538118889736114E-2"/>
    <n v="7207.21"/>
    <n v="0.1130065724413428"/>
    <n v="7031.01"/>
    <n v="0.11024381708050766"/>
    <n v="34392.86"/>
    <n v="0.53926820850994506"/>
    <n v="31.060116788015467"/>
    <n v="24.54001583962043"/>
    <n v="218.35591356944497"/>
    <n v="2.5727712401558269E-2"/>
  </r>
  <r>
    <x v="6"/>
    <x v="4"/>
    <x v="43"/>
    <n v="0"/>
    <n v="0"/>
    <n v="0"/>
    <n v="0"/>
    <n v="0"/>
    <n v="0"/>
    <n v="0"/>
    <n v="0"/>
    <n v="0"/>
    <n v="0"/>
    <n v="0"/>
    <s v="$0.00"/>
    <s v="$0.00"/>
    <s v="$0.00"/>
    <s v="0.00%"/>
    <s v="0.00%"/>
    <n v="0"/>
    <n v="0"/>
    <n v="0"/>
    <s v="0.00%"/>
    <n v="0"/>
    <s v="0.00%"/>
    <n v="0"/>
    <n v="0"/>
    <n v="0"/>
    <s v="0.00%"/>
    <n v="0"/>
    <n v="0"/>
    <s v="0.00%"/>
    <n v="0"/>
    <s v="0.00%"/>
    <n v="0"/>
    <n v="0"/>
    <n v="0"/>
    <s v="0.00%"/>
    <s v="0.00"/>
    <s v="0.00"/>
    <s v="0.00"/>
    <s v="0.00%"/>
  </r>
  <r>
    <x v="6"/>
    <x v="4"/>
    <x v="44"/>
    <n v="145329.62000375599"/>
    <n v="7459"/>
    <n v="137870.62000375599"/>
    <n v="103106.050183831"/>
    <n v="45711.470077514598"/>
    <n v="57394.580106316098"/>
    <n v="3704.5099992752098"/>
    <n v="99401.540184555488"/>
    <n v="54030.119886875204"/>
    <n v="536.18000328540802"/>
    <n v="822"/>
    <n v="176.80002433546957"/>
    <n v="110.41766437177053"/>
    <n v="125.43315107521983"/>
    <n v="0.70946342652768213"/>
    <n v="1.1843264346071156"/>
    <n v="144975.14000000001"/>
    <n v="111825.83"/>
    <n v="6307.33"/>
    <n v="5.6403158375842144E-2"/>
    <n v="3563.41"/>
    <n v="3.1865714745868641E-2"/>
    <n v="1060.96"/>
    <n v="9.4876112254208174E-3"/>
    <n v="11280.25"/>
    <n v="0.10087338497733483"/>
    <n v="33149.31"/>
    <n v="2660.64"/>
    <n v="8.0262304102257334E-2"/>
    <n v="2634.3"/>
    <n v="7.9467717427602572E-2"/>
    <n v="2624"/>
    <n v="7.9157002061279708E-2"/>
    <n v="17304.849999999999"/>
    <n v="0.52202745698175923"/>
    <n v="26.00848831345251"/>
    <n v="21.151660456366951"/>
    <n v="115.38667620668318"/>
    <n v="4.0815056067129415E-2"/>
  </r>
  <r>
    <x v="6"/>
    <x v="4"/>
    <x v="45"/>
    <n v="61021.320004958703"/>
    <n v="3866"/>
    <n v="57155.320004958703"/>
    <n v="38257.040081024199"/>
    <n v="19339.350070953398"/>
    <n v="18917.690010070801"/>
    <n v="728.72000217437699"/>
    <n v="37528.320078849822"/>
    <n v="21880.7800388336"/>
    <n v="17.590000152586999"/>
    <n v="391"/>
    <n v="156.06475704593018"/>
    <n v="100.05869556514709"/>
    <n v="97.844092278834268"/>
    <n v="0.62694546886097124"/>
    <n v="0.9964268098903587"/>
    <n v="44276.32"/>
    <n v="33747.01"/>
    <n v="621.47"/>
    <n v="1.841555740790073E-2"/>
    <n v="1935.15"/>
    <n v="5.7342857930228482E-2"/>
    <n v="530.64"/>
    <n v="1.5724059701881735E-2"/>
    <n v="443.32"/>
    <n v="1.3136571210308704E-2"/>
    <n v="10529.31"/>
    <n v="1181.77"/>
    <n v="0.11223622440596773"/>
    <n v="2161.62"/>
    <n v="0.20529550369397426"/>
    <n v="2645.54"/>
    <n v="0.25125483056344622"/>
    <n v="2335.5300000000002"/>
    <n v="0.22181225550392195"/>
    <n v="21.713049846618784"/>
    <n v="17.87035931047582"/>
    <n v="69.859041651308502"/>
    <n v="1.8626407334012052E-2"/>
  </r>
  <r>
    <x v="6"/>
    <x v="4"/>
    <x v="46"/>
    <n v="0"/>
    <n v="0"/>
    <n v="0"/>
    <n v="55"/>
    <n v="55"/>
    <n v="0"/>
    <n v="0"/>
    <n v="55"/>
    <n v="0"/>
    <n v="1592.2599956393201"/>
    <n v="0"/>
    <s v="$0.00"/>
    <s v="$0.00"/>
    <s v="$0.00"/>
    <s v="0.00%"/>
    <n v="-3.4542097490753411E-2"/>
    <n v="-3.66"/>
    <n v="0"/>
    <n v="0"/>
    <s v="0.00%"/>
    <n v="0"/>
    <s v="0.00%"/>
    <n v="0"/>
    <n v="0"/>
    <n v="0"/>
    <s v="0.00%"/>
    <n v="-3.66"/>
    <n v="0"/>
    <n v="0"/>
    <n v="0"/>
    <n v="0"/>
    <n v="0"/>
    <n v="0"/>
    <n v="-3.66"/>
    <n v="1"/>
    <s v="0.00"/>
    <s v="0.00"/>
    <s v="0.00"/>
    <n v="0"/>
  </r>
  <r>
    <x v="6"/>
    <x v="4"/>
    <x v="47"/>
    <n v="156013.44000516599"/>
    <n v="8652"/>
    <n v="147361.44000516599"/>
    <n v="109638.040117532"/>
    <n v="47692.490067482002"/>
    <n v="61945.550050049998"/>
    <n v="3611.4100068099801"/>
    <n v="106026.63011072202"/>
    <n v="63268.919970422998"/>
    <n v="-963.21000033616997"/>
    <n v="778"/>
    <n v="200.53141388838816"/>
    <n v="120.44695377259532"/>
    <n v="140.92293074232904"/>
    <n v="0.70274740505626698"/>
    <n v="1.2168980939857619"/>
    <n v="189749.69"/>
    <n v="146274.32"/>
    <n v="7194.49"/>
    <n v="4.9184915028147112E-2"/>
    <n v="6113.91"/>
    <n v="4.1797562278874378E-2"/>
    <n v="5815.36"/>
    <n v="3.9756534161293655E-2"/>
    <n v="28866.81"/>
    <n v="0.19734708047181487"/>
    <n v="43475.37"/>
    <n v="2218.2600000000002"/>
    <n v="5.1023372544040456E-2"/>
    <n v="4544.55"/>
    <n v="0.10453160030610435"/>
    <n v="3872.73"/>
    <n v="8.9078712843616972E-2"/>
    <n v="27890.07"/>
    <n v="0.64151426428343217"/>
    <n v="32.22763798724565"/>
    <n v="26.201334298629934"/>
    <n v="142.50066647243062"/>
    <n v="3.8539083226731254E-2"/>
  </r>
  <r>
    <x v="6"/>
    <x v="4"/>
    <x v="48"/>
    <n v="0"/>
    <n v="0"/>
    <n v="0"/>
    <n v="0"/>
    <n v="0"/>
    <n v="0"/>
    <n v="0"/>
    <n v="0"/>
    <n v="0"/>
    <n v="0"/>
    <n v="0"/>
    <s v="$0.00"/>
    <s v="$0.00"/>
    <s v="$0.00"/>
    <s v="0.00%"/>
    <s v="0.00%"/>
    <n v="0"/>
    <n v="0"/>
    <n v="0"/>
    <s v="0.00%"/>
    <n v="0"/>
    <s v="0.00%"/>
    <n v="0"/>
    <n v="0"/>
    <n v="0"/>
    <s v="0.00%"/>
    <n v="0"/>
    <n v="0"/>
    <s v="0.00%"/>
    <n v="0"/>
    <s v="0.00%"/>
    <n v="0"/>
    <n v="0"/>
    <n v="0"/>
    <s v="0.00%"/>
    <s v="0.00"/>
    <s v="0.00"/>
    <s v="0.00"/>
    <s v="0.00%"/>
  </r>
  <r>
    <x v="6"/>
    <x v="4"/>
    <x v="49"/>
    <n v="127873.46000267001"/>
    <n v="8618"/>
    <n v="119255.46000267001"/>
    <n v="79952.350064218001"/>
    <n v="35300.100051879897"/>
    <n v="44652.250012338198"/>
    <n v="2262.3499994278"/>
    <n v="77690.000064790307"/>
    <n v="48050.419967651404"/>
    <n v="1103.0599975585901"/>
    <n v="727"/>
    <n v="175.891966991293"/>
    <n v="108.28057776817059"/>
    <n v="109.97572223413769"/>
    <n v="0.62524584900219871"/>
    <n v="1.0457079303196752"/>
    <n v="155616.72999999998"/>
    <n v="113585.31"/>
    <n v="4241.6400000000003"/>
    <n v="3.7343209258309903E-2"/>
    <n v="4777.79"/>
    <n v="4.2063449930277073E-2"/>
    <n v="4795.26"/>
    <n v="4.2217255030602113E-2"/>
    <n v="16019.35"/>
    <n v="0.14103364246661826"/>
    <n v="42031.42"/>
    <n v="3243.5"/>
    <n v="7.7168461117897047E-2"/>
    <n v="6571.68"/>
    <n v="0.15635160553700067"/>
    <n v="3889.71"/>
    <n v="9.2542911945397044E-2"/>
    <n v="23737.99"/>
    <n v="0.56476773803978075"/>
    <n v="34.183182144336278"/>
    <n v="26.284432489050548"/>
    <n v="181.91919784553235"/>
    <n v="2.8739209516456036E-2"/>
  </r>
  <r>
    <x v="7"/>
    <x v="0"/>
    <x v="0"/>
    <n v="0"/>
    <n v="0"/>
    <n v="0"/>
    <n v="45"/>
    <n v="0"/>
    <n v="45"/>
    <n v="226.77000427246099"/>
    <n v="-181.77000427246099"/>
    <n v="0"/>
    <n v="-75"/>
    <n v="0"/>
    <s v="$0.00"/>
    <s v="$0.00"/>
    <s v="$0.00"/>
    <s v="0.00%"/>
    <n v="-0.29650127649212532"/>
    <n v="-151.72"/>
    <n v="-177.68"/>
    <n v="0"/>
    <n v="0"/>
    <n v="0"/>
    <n v="0"/>
    <n v="0"/>
    <n v="0"/>
    <n v="-177.68"/>
    <n v="0"/>
    <n v="25.96"/>
    <n v="0"/>
    <n v="0"/>
    <n v="0"/>
    <n v="0"/>
    <n v="0"/>
    <n v="0"/>
    <n v="25.96"/>
    <n v="1"/>
    <s v="0.00"/>
    <s v="0.00"/>
    <s v="0.00"/>
    <n v="3.0236000569661465"/>
  </r>
  <r>
    <x v="7"/>
    <x v="0"/>
    <x v="1"/>
    <n v="164121.54000501501"/>
    <n v="18534"/>
    <n v="145587.54000501501"/>
    <n v="105787.480106754"/>
    <n v="47413.590006127997"/>
    <n v="58373.890100626297"/>
    <n v="20200.630051225398"/>
    <n v="85586.850055528892"/>
    <n v="43207.300068348603"/>
    <n v="1120.9900002479601"/>
    <n v="1104"/>
    <n v="148.66081522193389"/>
    <n v="108.50837856559642"/>
    <n v="95.82199285032091"/>
    <n v="0.64456792267195262"/>
    <n v="1.062202000797875"/>
    <n v="186847.73"/>
    <n v="136034.26"/>
    <n v="3773.67"/>
    <n v="2.774058534960237E-2"/>
    <n v="2376.1999999999998"/>
    <n v="1.7467658514847655E-2"/>
    <n v="2857.85"/>
    <n v="2.1008310700554401E-2"/>
    <n v="19061.97"/>
    <n v="0.14012624466807111"/>
    <n v="50813.47"/>
    <n v="3724.76"/>
    <n v="7.330261050859152E-2"/>
    <n v="4533.82"/>
    <n v="8.9224766582561663E-2"/>
    <n v="4119.4799999999996"/>
    <n v="8.1070629500406083E-2"/>
    <n v="26721.25"/>
    <n v="0.5258694200573194"/>
    <n v="34.407190148341591"/>
    <n v="27.230351792444072"/>
    <n v="116.86630634774609"/>
    <n v="0.16862911776704531"/>
  </r>
  <r>
    <x v="7"/>
    <x v="0"/>
    <x v="2"/>
    <n v="0"/>
    <n v="0"/>
    <n v="0"/>
    <n v="0"/>
    <n v="0"/>
    <n v="0"/>
    <n v="0"/>
    <n v="0"/>
    <n v="0"/>
    <n v="0"/>
    <n v="0"/>
    <s v="$0.00"/>
    <s v="$0.00"/>
    <s v="$0.00"/>
    <s v="0.00%"/>
    <s v="0.00%"/>
    <n v="-70"/>
    <n v="0"/>
    <n v="0"/>
    <s v="0.00%"/>
    <n v="0"/>
    <s v="0.00%"/>
    <n v="0"/>
    <n v="0"/>
    <n v="0"/>
    <s v="0.00%"/>
    <n v="-70"/>
    <n v="0"/>
    <n v="0"/>
    <n v="0"/>
    <n v="0"/>
    <n v="0"/>
    <n v="0"/>
    <n v="-70"/>
    <n v="1"/>
    <s v="0.00"/>
    <s v="0.00"/>
    <s v="0.00"/>
    <s v="0.00%"/>
  </r>
  <r>
    <x v="7"/>
    <x v="0"/>
    <x v="3"/>
    <n v="173680.30000789501"/>
    <n v="20405"/>
    <n v="153275.30000789501"/>
    <n v="126144.919907993"/>
    <n v="59534.499879544601"/>
    <n v="66610.420028448105"/>
    <n v="18979.4099513441"/>
    <n v="107165.5099566486"/>
    <n v="59114.829963866599"/>
    <n v="71.430002212524002"/>
    <n v="964"/>
    <n v="180.16628631524378"/>
    <n v="118.76975108072189"/>
    <n v="130.85572604563558"/>
    <n v="0.72630528564413188"/>
    <n v="1.3206868915108376"/>
    <n v="196712.11"/>
    <n v="150085.34"/>
    <n v="5782.72"/>
    <n v="3.8529545923672498E-2"/>
    <n v="5117.92"/>
    <n v="3.4100066002449005E-2"/>
    <n v="3101.24"/>
    <n v="2.0663177362958966E-2"/>
    <n v="20680.34"/>
    <n v="0.13779053970227872"/>
    <n v="46626.77"/>
    <n v="3691.13"/>
    <n v="7.9163321842795467E-2"/>
    <n v="4391.4399999999996"/>
    <n v="9.4182805285461552E-2"/>
    <n v="4492.01"/>
    <n v="9.6339720722666417E-2"/>
    <n v="24101.19"/>
    <n v="0.51689598057081798"/>
    <n v="32.514634815810226"/>
    <n v="26.937241044756171"/>
    <n v="97.48662593504622"/>
    <n v="0.16576766742104984"/>
  </r>
  <r>
    <x v="7"/>
    <x v="0"/>
    <x v="4"/>
    <n v="0"/>
    <n v="0"/>
    <n v="0"/>
    <n v="0"/>
    <n v="0"/>
    <n v="0"/>
    <n v="5"/>
    <n v="-5"/>
    <n v="0"/>
    <n v="0"/>
    <n v="0"/>
    <s v="$0.00"/>
    <s v="$0.00"/>
    <s v="$0.00"/>
    <s v="0.00%"/>
    <n v="0"/>
    <n v="-38.61"/>
    <n v="0"/>
    <n v="0"/>
    <s v="0.00%"/>
    <n v="0"/>
    <s v="0.00%"/>
    <n v="0"/>
    <n v="0"/>
    <n v="0"/>
    <s v="0.00%"/>
    <n v="-38.61"/>
    <n v="0"/>
    <n v="0"/>
    <n v="0"/>
    <n v="0"/>
    <n v="0"/>
    <n v="0"/>
    <n v="-38.61"/>
    <n v="1"/>
    <s v="0.00"/>
    <s v="0.00"/>
    <s v="0.00"/>
    <s v="0.00%"/>
  </r>
  <r>
    <x v="7"/>
    <x v="0"/>
    <x v="5"/>
    <n v="311152.28001256502"/>
    <n v="23764"/>
    <n v="287388.28001256502"/>
    <n v="208201.47002432501"/>
    <n v="101893.999901868"/>
    <n v="106307.470122457"/>
    <n v="40960.300017448099"/>
    <n v="167241.17000687693"/>
    <n v="100473.859975966"/>
    <n v="-1310.74999904633"/>
    <n v="1702"/>
    <n v="182.81567568305817"/>
    <n v="124.55297886935685"/>
    <n v="122.32753820465629"/>
    <n v="0.66913046568682499"/>
    <n v="1.217346930972371"/>
    <n v="350235.36"/>
    <n v="249383.69999999995"/>
    <n v="9844.5"/>
    <n v="3.9475314545417368E-2"/>
    <n v="5591.49"/>
    <n v="2.2421232823155647E-2"/>
    <n v="7300.58"/>
    <n v="2.9274487466502425E-2"/>
    <n v="26258.21"/>
    <n v="0.1052924068413453"/>
    <n v="100851.66"/>
    <n v="6653.54"/>
    <n v="6.5973529835800418E-2"/>
    <n v="7925.94"/>
    <n v="7.8590079726997053E-2"/>
    <n v="10046.709999999999"/>
    <n v="9.9618687486155391E-2"/>
    <n v="55678.84"/>
    <n v="0.55208650011313642"/>
    <n v="31.58300961391463"/>
    <n v="23.952092298904738"/>
    <n v="148.83901087188232"/>
    <n v="0.19321883287981523"/>
  </r>
  <r>
    <x v="7"/>
    <x v="0"/>
    <x v="6"/>
    <n v="0"/>
    <n v="0"/>
    <n v="0"/>
    <n v="100"/>
    <n v="100"/>
    <n v="0"/>
    <n v="307.700000762939"/>
    <n v="-207.700000762939"/>
    <n v="50"/>
    <n v="-184"/>
    <n v="0"/>
    <s v="$0.00"/>
    <s v="$0.00"/>
    <s v="$0.00"/>
    <s v="0.00%"/>
    <n v="-0.57570523638901572"/>
    <n v="6439.51"/>
    <n v="1117.18"/>
    <n v="0"/>
    <n v="0"/>
    <n v="0"/>
    <n v="0"/>
    <n v="0"/>
    <n v="0"/>
    <n v="1117.18"/>
    <n v="1"/>
    <n v="5322.33"/>
    <n v="0"/>
    <n v="0"/>
    <n v="0"/>
    <n v="0"/>
    <n v="0"/>
    <n v="0"/>
    <n v="5322.33"/>
    <n v="1"/>
    <s v="0.00"/>
    <s v="0.00"/>
    <s v="0.00"/>
    <n v="2.2962686624099926"/>
  </r>
  <r>
    <x v="7"/>
    <x v="0"/>
    <x v="7"/>
    <n v="0"/>
    <n v="0"/>
    <n v="0"/>
    <n v="0"/>
    <n v="0"/>
    <n v="0"/>
    <n v="0"/>
    <n v="0"/>
    <n v="0"/>
    <n v="0"/>
    <n v="0"/>
    <s v="$0.00"/>
    <s v="$0.00"/>
    <s v="$0.00"/>
    <s v="0.00%"/>
    <s v="0.00%"/>
    <n v="0"/>
    <n v="0"/>
    <n v="0"/>
    <s v="0.00%"/>
    <n v="0"/>
    <s v="0.00%"/>
    <n v="0"/>
    <n v="0"/>
    <n v="0"/>
    <s v="0.00%"/>
    <n v="0"/>
    <n v="0"/>
    <s v="0.00%"/>
    <n v="0"/>
    <s v="0.00%"/>
    <n v="0"/>
    <n v="0"/>
    <n v="0"/>
    <s v="0.00%"/>
    <s v="0.00"/>
    <s v="0.00"/>
    <s v="0.00"/>
    <s v="0.00%"/>
  </r>
  <r>
    <x v="7"/>
    <x v="0"/>
    <x v="8"/>
    <n v="204354.72999963499"/>
    <n v="20570"/>
    <n v="183784.72999963499"/>
    <n v="137382.74004586399"/>
    <n v="75260.969989795194"/>
    <n v="62121.770056068897"/>
    <n v="20306.659993991299"/>
    <n v="117076.08005187278"/>
    <n v="63225.8699874878"/>
    <n v="209.129999876022"/>
    <n v="1364"/>
    <n v="149.82018328418988"/>
    <n v="103.31358505298473"/>
    <n v="100.72048390459243"/>
    <n v="0.67227580220976269"/>
    <n v="1.1390369221597845"/>
    <n v="247246.47"/>
    <n v="178730.53"/>
    <n v="6438.48"/>
    <n v="3.6023392310200165E-2"/>
    <n v="4550.5200000000004"/>
    <n v="2.5460227751800436E-2"/>
    <n v="3428.97"/>
    <n v="1.9185138655382489E-2"/>
    <n v="16638.310000000001"/>
    <n v="9.3091594368348823E-2"/>
    <n v="68515.94"/>
    <n v="6969.7"/>
    <n v="0.10172377405899999"/>
    <n v="4605.9399999999996"/>
    <n v="6.7224356843093733E-2"/>
    <n v="5938.46"/>
    <n v="8.6672677919911775E-2"/>
    <n v="39223.71"/>
    <n v="0.57247568959865391"/>
    <n v="35.427983715047816"/>
    <n v="27.467654134911704"/>
    <n v="145.19127472560467"/>
    <n v="0.14410090050713986"/>
  </r>
  <r>
    <x v="7"/>
    <x v="0"/>
    <x v="9"/>
    <n v="0"/>
    <n v="0"/>
    <n v="0"/>
    <n v="0"/>
    <n v="0"/>
    <n v="0"/>
    <n v="0"/>
    <n v="0"/>
    <n v="0"/>
    <n v="0"/>
    <n v="0"/>
    <s v="$0.00"/>
    <s v="$0.00"/>
    <s v="$0.00"/>
    <s v="0.00%"/>
    <s v="0.00%"/>
    <n v="0"/>
    <n v="0"/>
    <n v="0"/>
    <s v="0.00%"/>
    <n v="0"/>
    <s v="0.00%"/>
    <n v="0"/>
    <n v="0"/>
    <n v="0"/>
    <s v="0.00%"/>
    <n v="0"/>
    <n v="0"/>
    <s v="0.00%"/>
    <n v="0"/>
    <s v="0.00%"/>
    <n v="0"/>
    <n v="0"/>
    <n v="0"/>
    <s v="0.00%"/>
    <s v="0.00"/>
    <s v="0.00"/>
    <s v="0.00"/>
    <s v="0.00%"/>
  </r>
  <r>
    <x v="7"/>
    <x v="0"/>
    <x v="10"/>
    <n v="211231.870003583"/>
    <n v="26043"/>
    <n v="185188.870003583"/>
    <n v="141193.18002823001"/>
    <n v="73171.549959748998"/>
    <n v="68021.630068480998"/>
    <n v="20080.540008861601"/>
    <n v="121112.64001936841"/>
    <n v="65050.110109824702"/>
    <n v="705.88999176025402"/>
    <n v="1600"/>
    <n v="132.01991875223936"/>
    <n v="90.922418688748763"/>
    <n v="88.245737517643761"/>
    <n v="0.66842744906739238"/>
    <n v="1.1259843580184103"/>
    <n v="269042.14"/>
    <n v="188679.87"/>
    <n v="6394.15"/>
    <n v="3.3888882793909066E-2"/>
    <n v="3326.1"/>
    <n v="1.7628271632792625E-2"/>
    <n v="5022.8500000000004"/>
    <n v="2.6621016857813186E-2"/>
    <n v="25672.959999999999"/>
    <n v="0.13606623748468769"/>
    <n v="80362.27"/>
    <n v="7244.52"/>
    <n v="9.0148274806075041E-2"/>
    <n v="6943.35"/>
    <n v="8.6400620589736951E-2"/>
    <n v="6796.54"/>
    <n v="8.4573768262145896E-2"/>
    <n v="45193.86"/>
    <n v="0.56237659787360406"/>
    <n v="36.004884119665221"/>
    <n v="27.47200053971812"/>
    <n v="132.98406420651995"/>
    <n v="0.13803347608362235"/>
  </r>
  <r>
    <x v="7"/>
    <x v="0"/>
    <x v="11"/>
    <n v="0"/>
    <n v="0"/>
    <n v="0"/>
    <n v="0"/>
    <n v="0"/>
    <n v="0"/>
    <n v="0"/>
    <n v="0"/>
    <n v="0"/>
    <n v="0"/>
    <n v="0"/>
    <s v="$0.00"/>
    <s v="$0.00"/>
    <s v="$0.00"/>
    <s v="0.00%"/>
    <s v="0.00%"/>
    <n v="0"/>
    <n v="0"/>
    <n v="0"/>
    <s v="0.00%"/>
    <n v="0"/>
    <s v="0.00%"/>
    <n v="0"/>
    <n v="0"/>
    <n v="0"/>
    <s v="0.00%"/>
    <n v="0"/>
    <n v="0"/>
    <s v="0.00%"/>
    <n v="0"/>
    <s v="0.00%"/>
    <n v="0"/>
    <n v="0"/>
    <n v="0"/>
    <s v="0.00%"/>
    <s v="0.00"/>
    <s v="0.00"/>
    <s v="0.00"/>
    <s v="0.00%"/>
  </r>
  <r>
    <x v="7"/>
    <x v="0"/>
    <x v="12"/>
    <n v="202922.050010217"/>
    <n v="25365"/>
    <n v="177557.050010217"/>
    <n v="143739.219990171"/>
    <n v="71398.059909112795"/>
    <n v="72341.160081058697"/>
    <n v="23056.739987213201"/>
    <n v="120682.4800029583"/>
    <n v="64663.830062577501"/>
    <n v="30.719998136162001"/>
    <n v="1433"/>
    <n v="141.60645499666225"/>
    <n v="96.460223272507562"/>
    <n v="100.30650383124319"/>
    <n v="0.70834697354444387"/>
    <n v="1.2480530651810875"/>
    <n v="298886.12"/>
    <n v="203347.09"/>
    <n v="9471.2000000000007"/>
    <n v="4.6576520962262113E-2"/>
    <n v="8868.68"/>
    <n v="4.3613508312314676E-2"/>
    <n v="5046.3100000000004"/>
    <n v="2.4816239071825421E-2"/>
    <n v="26389.23"/>
    <n v="0.12977431838341036"/>
    <n v="95539.03"/>
    <n v="8071.96"/>
    <n v="8.4488611617681272E-2"/>
    <n v="9391.49"/>
    <n v="9.8300035074670528E-2"/>
    <n v="9412.31"/>
    <n v="9.8517956483334612E-2"/>
    <n v="54427.42"/>
    <n v="0.56968780193811885"/>
    <n v="40.293853058773877"/>
    <n v="30.312085533807846"/>
    <n v="134.71169374422286"/>
    <n v="0.16680284310745827"/>
  </r>
  <r>
    <x v="7"/>
    <x v="0"/>
    <x v="13"/>
    <n v="151037.140009075"/>
    <n v="10142"/>
    <n v="140895.140009075"/>
    <n v="88960.320012450204"/>
    <n v="47547.6099533737"/>
    <n v="41412.710059076497"/>
    <n v="12079.5100027919"/>
    <n v="76880.810009658293"/>
    <n v="45809.400028973803"/>
    <n v="-244.45000314712499"/>
    <n v="834"/>
    <n v="181.09968826028177"/>
    <n v="126.46545561540566"/>
    <n v="106.66705037464051"/>
    <n v="0.58899632240854827"/>
    <n v="0.9525406062987618"/>
    <n v="201617.75"/>
    <n v="137593.82"/>
    <n v="4308.8500000000004"/>
    <n v="3.1315723336992896E-2"/>
    <n v="4430.3999999999996"/>
    <n v="3.21991205709675E-2"/>
    <n v="4026.87"/>
    <n v="2.9266358038464224E-2"/>
    <n v="12991.33"/>
    <n v="9.4417976039912255E-2"/>
    <n v="64023.93"/>
    <n v="3671.56"/>
    <n v="5.7346682716915377E-2"/>
    <n v="6930.11"/>
    <n v="0.10824249620415366"/>
    <n v="6191.39"/>
    <n v="9.6704310403938037E-2"/>
    <n v="34784.080000000002"/>
    <n v="0.54329810744201423"/>
    <n v="40.4749162912156"/>
    <n v="29.574231585072365"/>
    <n v="194.71340181799749"/>
    <n v="0.11452791493862444"/>
  </r>
  <r>
    <x v="7"/>
    <x v="0"/>
    <x v="14"/>
    <n v="0"/>
    <n v="0"/>
    <n v="0"/>
    <n v="177.339998245239"/>
    <n v="-23.229997634886999"/>
    <n v="200.56999588012701"/>
    <n v="305.24999618530302"/>
    <n v="-127.90999794006302"/>
    <n v="1.639999985694"/>
    <n v="-99.469997406005007"/>
    <n v="0"/>
    <s v="$0.00"/>
    <s v="$0.00"/>
    <s v="$0.00"/>
    <s v="0.00%"/>
    <n v="-0.85498022997371226"/>
    <n v="7347.04"/>
    <n v="792.97"/>
    <n v="0"/>
    <n v="0"/>
    <n v="0"/>
    <n v="0"/>
    <n v="0"/>
    <n v="0"/>
    <n v="792.97"/>
    <n v="1"/>
    <n v="6554.07"/>
    <n v="0"/>
    <n v="0"/>
    <n v="0"/>
    <n v="0"/>
    <n v="0"/>
    <n v="0"/>
    <n v="6554.07"/>
    <n v="1"/>
    <s v="0.00"/>
    <s v="0.00"/>
    <s v="0.00"/>
    <n v="3.1202085682763032"/>
  </r>
  <r>
    <x v="7"/>
    <x v="0"/>
    <x v="15"/>
    <n v="0"/>
    <n v="0"/>
    <n v="0"/>
    <n v="0"/>
    <n v="0"/>
    <n v="0"/>
    <n v="0"/>
    <n v="0"/>
    <n v="0"/>
    <n v="0"/>
    <n v="0"/>
    <s v="$0.00"/>
    <s v="$0.00"/>
    <s v="$0.00"/>
    <s v="0.00%"/>
    <s v="0.00%"/>
    <n v="0"/>
    <n v="0"/>
    <n v="0"/>
    <s v="0.00%"/>
    <n v="0"/>
    <s v="0.00%"/>
    <n v="0"/>
    <n v="0"/>
    <n v="0"/>
    <s v="0.00%"/>
    <n v="0"/>
    <n v="0"/>
    <s v="0.00%"/>
    <n v="0"/>
    <s v="0.00%"/>
    <n v="0"/>
    <n v="0"/>
    <n v="0"/>
    <s v="0.00%"/>
    <s v="0.00"/>
    <s v="0.00"/>
    <s v="0.00"/>
    <s v="0.00%"/>
  </r>
  <r>
    <x v="7"/>
    <x v="0"/>
    <x v="16"/>
    <n v="131638.900006065"/>
    <n v="11867"/>
    <n v="119771.900006065"/>
    <n v="86057.829998970003"/>
    <n v="37141.079926490798"/>
    <n v="48916.750072479197"/>
    <n v="19405.7400392294"/>
    <n v="66652.08995974061"/>
    <n v="40086.319975623897"/>
    <n v="-295.46999931335398"/>
    <n v="708"/>
    <n v="185.9306497260805"/>
    <n v="129.72888422281704"/>
    <n v="121.55060734317797"/>
    <n v="0.6537416371225"/>
    <n v="1.1879498322213322"/>
    <n v="135474.34"/>
    <n v="102083.85999999999"/>
    <n v="2149.65"/>
    <n v="2.1057687277890945E-2"/>
    <n v="3866.95"/>
    <n v="3.7880131100058327E-2"/>
    <n v="804.27"/>
    <n v="7.8785226185608594E-3"/>
    <n v="14582.23"/>
    <n v="0.14284559772720196"/>
    <n v="33390.480000000003"/>
    <n v="4379.87"/>
    <n v="0.13117122006032855"/>
    <n v="3490.18"/>
    <n v="0.10452620028223612"/>
    <n v="3100.78"/>
    <n v="9.2864193626446823E-2"/>
    <n v="14655.2"/>
    <n v="0.43890354376457003"/>
    <n v="33.07860811133515"/>
    <n v="26.692045112899045"/>
    <n v="123.20200065595277"/>
    <n v="0.21128091486910011"/>
  </r>
  <r>
    <x v="7"/>
    <x v="1"/>
    <x v="17"/>
    <n v="593761.53044378699"/>
    <n v="28984.19000244141"/>
    <n v="564777.34044134605"/>
    <n v="443124.27939572523"/>
    <n v="276867.74951663252"/>
    <n v="166256.52987909268"/>
    <n v="84204.109999304594"/>
    <n v="358920.16939642065"/>
    <n v="195925.39010537401"/>
    <n v="11672.430011749271"/>
    <n v="2944"/>
    <n v="201.68530246052563"/>
    <n v="131.16973856204623"/>
    <n v="150.51775794691753"/>
    <n v="0.7463000829045402"/>
    <n v="1.4674952507399222"/>
    <n v="688896.2"/>
    <n v="552004.91"/>
    <n v="21749.1"/>
    <n v="3.940019301639907E-2"/>
    <n v="11458.81"/>
    <n v="2.0758529122503637E-2"/>
    <n v="10541.93"/>
    <n v="1.9097529404222147E-2"/>
    <n v="27144.879999999997"/>
    <n v="4.9175069837694006E-2"/>
    <n v="136891.28999999998"/>
    <n v="14409.75"/>
    <n v="0.1052641844488426"/>
    <n v="12341.03"/>
    <n v="9.0152046927163901E-2"/>
    <n v="13602.310000000001"/>
    <n v="9.9365781416772408E-2"/>
    <n v="46413.289999999994"/>
    <n v="0.33905217782665353"/>
    <n v="34.03488809893998"/>
    <n v="28.442062414213432"/>
    <n v="164.36775224769238"/>
    <n v="0.21805288210037818"/>
  </r>
  <r>
    <x v="7"/>
    <x v="2"/>
    <x v="19"/>
    <n v="109158.98000122"/>
    <n v="13776"/>
    <n v="95382.980001220494"/>
    <n v="63693.850359916702"/>
    <n v="29926.350247383099"/>
    <n v="33767.500112533598"/>
    <n v="11282.3700377736"/>
    <n v="52411.480322143099"/>
    <n v="34720.189737319903"/>
    <n v="348.78999328613298"/>
    <n v="964"/>
    <n v="113.23545643280134"/>
    <n v="76.856846753749437"/>
    <n v="66.072458879581646"/>
    <n v="0.58349620305360628"/>
    <n v="1.0141100710819759"/>
    <n v="112768.91"/>
    <n v="81085.53"/>
    <n v="4338.04"/>
    <n v="5.3499557812596153E-2"/>
    <n v="776"/>
    <n v="9.5701415529996538E-3"/>
    <n v="2213.5700000000002"/>
    <n v="2.7299198759630727E-2"/>
    <n v="6592.08"/>
    <n v="8.129785918646644E-2"/>
    <n v="31683.38"/>
    <n v="1705.55"/>
    <n v="5.3831062216215565E-2"/>
    <n v="1096.6500000000001"/>
    <n v="3.461278436833444E-2"/>
    <n v="1786.34"/>
    <n v="5.6380979554580345E-2"/>
    <n v="18044.45"/>
    <n v="0.56952414799178619"/>
    <n v="33.100517510551263"/>
    <n v="26.074695699428649"/>
    <n v="106.63416476571557"/>
    <n v="0.15227925491381708"/>
  </r>
  <r>
    <x v="7"/>
    <x v="2"/>
    <x v="20"/>
    <n v="0"/>
    <n v="0"/>
    <n v="0"/>
    <n v="0"/>
    <n v="0"/>
    <n v="0"/>
    <n v="20"/>
    <n v="-20"/>
    <n v="0"/>
    <n v="-20"/>
    <n v="0"/>
    <s v="$0.00"/>
    <s v="$0.00"/>
    <s v="$0.00"/>
    <s v="0.00%"/>
    <s v="0.00%"/>
    <n v="-123.58"/>
    <n v="-123.58"/>
    <n v="0"/>
    <n v="0"/>
    <n v="0"/>
    <n v="0"/>
    <n v="0"/>
    <n v="0"/>
    <n v="-123.58"/>
    <n v="0"/>
    <n v="0"/>
    <n v="0"/>
    <s v="0.00%"/>
    <n v="0"/>
    <s v="0.00%"/>
    <n v="0"/>
    <n v="0"/>
    <n v="0"/>
    <s v="0.00%"/>
    <s v="0.00"/>
    <s v="0.00"/>
    <s v="0.00"/>
    <n v="1"/>
  </r>
  <r>
    <x v="7"/>
    <x v="2"/>
    <x v="21"/>
    <n v="178698.57000350999"/>
    <n v="10865.9900016785"/>
    <n v="167832.580001831"/>
    <n v="122452.500835657"/>
    <n v="62043.940510988199"/>
    <n v="60408.560324668899"/>
    <n v="31355.3601272739"/>
    <n v="91097.140708383187"/>
    <n v="71043.879318237305"/>
    <n v="-103.76000022888201"/>
    <n v="952"/>
    <n v="187.70858193645955"/>
    <n v="113.19164987972802"/>
    <n v="128.62657650804317"/>
    <n v="0.68524611491436238"/>
    <n v="1.6027165909255392"/>
    <n v="153912.57999999999"/>
    <n v="106937.23999999999"/>
    <n v="2253.33"/>
    <n v="2.1071518210120255E-2"/>
    <n v="1235.01"/>
    <n v="1.1548923462023146E-2"/>
    <n v="4112.7299999999996"/>
    <n v="3.8459286961212015E-2"/>
    <n v="11004.19"/>
    <n v="0.1029032542826054"/>
    <n v="46975.34"/>
    <n v="3360.07"/>
    <n v="7.1528380635456829E-2"/>
    <n v="3544.97"/>
    <n v="7.5464488389014317E-2"/>
    <n v="2748.92"/>
    <n v="5.8518363038990252E-2"/>
    <n v="23063.919999999998"/>
    <n v="0.49097930956965929"/>
    <n v="38.701093398349208"/>
    <n v="28.565507406478638"/>
    <n v="201.2846416162902"/>
    <n v="0.29097820103952765"/>
  </r>
  <r>
    <x v="7"/>
    <x v="2"/>
    <x v="22"/>
    <n v="0"/>
    <n v="0"/>
    <n v="0"/>
    <n v="0"/>
    <n v="0"/>
    <n v="0"/>
    <n v="115.550003051758"/>
    <n v="-115.550003051758"/>
    <n v="0"/>
    <n v="0"/>
    <n v="0"/>
    <s v="$0.00"/>
    <s v="$0.00"/>
    <s v="$0.00"/>
    <s v="0.00%"/>
    <n v="0"/>
    <n v="0"/>
    <n v="0"/>
    <n v="0"/>
    <s v="0.00%"/>
    <n v="0"/>
    <s v="0.00%"/>
    <n v="0"/>
    <n v="0"/>
    <n v="0"/>
    <s v="0.00%"/>
    <n v="0"/>
    <n v="0"/>
    <s v="0.00%"/>
    <n v="0"/>
    <s v="0.00%"/>
    <n v="0"/>
    <n v="0"/>
    <n v="0"/>
    <s v="0.00%"/>
    <n v="0"/>
    <n v="0"/>
    <n v="0"/>
    <s v="0.00%"/>
  </r>
  <r>
    <x v="7"/>
    <x v="2"/>
    <x v="23"/>
    <n v="142108.97999816801"/>
    <n v="11697"/>
    <n v="130411.979998168"/>
    <n v="93391.250551521807"/>
    <n v="46118.8403366208"/>
    <n v="47272.410214901"/>
    <n v="15774.3000462726"/>
    <n v="77616.950505249202"/>
    <n v="49382.0695907474"/>
    <n v="195.51000022888201"/>
    <n v="831"/>
    <n v="171.00960288588209"/>
    <n v="111.3494589737566"/>
    <n v="112.3841763556219"/>
    <n v="0.65718050015365503"/>
    <n v="1.2167115499724108"/>
    <n v="121268.58"/>
    <n v="89624.31"/>
    <n v="3285.54"/>
    <n v="3.6659026998366852E-2"/>
    <n v="1886.92"/>
    <n v="2.1053662784126317E-2"/>
    <n v="1945.7"/>
    <n v="2.1709511626923545E-2"/>
    <n v="9631.7099999999991"/>
    <n v="0.10746760560834442"/>
    <n v="31644.27"/>
    <n v="2408.62"/>
    <n v="7.6115517912089606E-2"/>
    <n v="1911.99"/>
    <n v="6.0421365384633614E-2"/>
    <n v="3424.8"/>
    <n v="0.1082281247126257"/>
    <n v="16145.4"/>
    <n v="0.51021559353399526"/>
    <n v="27.678576306141494"/>
    <n v="21.775059855264178"/>
    <n v="119.23236623963828"/>
    <n v="0.17047510333634364"/>
  </r>
  <r>
    <x v="7"/>
    <x v="2"/>
    <x v="24"/>
    <n v="106185.880004883"/>
    <n v="9137"/>
    <n v="97048.880004882798"/>
    <n v="68854.090426444993"/>
    <n v="32763.230257034302"/>
    <n v="36090.860169410698"/>
    <n v="15155.6100559924"/>
    <n v="53698.480370452606"/>
    <n v="38784.579650878899"/>
    <n v="467.42999458313"/>
    <n v="562"/>
    <n v="188.94284698377723"/>
    <n v="119.09941345092665"/>
    <n v="122.51617513602315"/>
    <n v="0.64842981405134892"/>
    <n v="1.3297876371849828"/>
    <n v="88875.44"/>
    <n v="62533.090000000004"/>
    <n v="2677.33"/>
    <n v="4.2814612231700043E-2"/>
    <n v="-121.86"/>
    <n v="0"/>
    <n v="1965.97"/>
    <n v="3.1438875002018932E-2"/>
    <n v="3925.86"/>
    <n v="6.2780521480707258E-2"/>
    <n v="26342.35"/>
    <n v="2211.54"/>
    <n v="8.3953785444351017E-2"/>
    <n v="2973.15"/>
    <n v="0.11286578456363992"/>
    <n v="2659.94"/>
    <n v="0.1009758051198925"/>
    <n v="10682.08"/>
    <n v="0.40550975900024105"/>
    <n v="26.209479705606032"/>
    <n v="19.905073156920501"/>
    <n v="105.6228949478749"/>
    <n v="0.22642662040324163"/>
  </r>
  <r>
    <x v="7"/>
    <x v="2"/>
    <x v="25"/>
    <n v="91131.190002441406"/>
    <n v="6942"/>
    <n v="84189.190002441406"/>
    <n v="59362.360288143202"/>
    <n v="29258.570128917701"/>
    <n v="30103.7901592255"/>
    <n v="10735.390048384699"/>
    <n v="48626.970239758506"/>
    <n v="31772.759773254402"/>
    <n v="135"/>
    <n v="526"/>
    <n v="173.2532129323981"/>
    <n v="112.59207267906275"/>
    <n v="112.85619826643195"/>
    <n v="0.6513945476466716"/>
    <n v="1.2242680889306459"/>
    <n v="63329.9"/>
    <n v="51330.51"/>
    <n v="1626.25"/>
    <n v="3.1681937311746948E-2"/>
    <n v="724"/>
    <n v="1.4104671860848451E-2"/>
    <n v="3326.94"/>
    <n v="6.4814084255153517E-2"/>
    <n v="1678"/>
    <n v="3.2690109644342123E-2"/>
    <n v="11999.39"/>
    <n v="2025.41"/>
    <n v="0.16879274696463739"/>
    <n v="1847.15"/>
    <n v="0.15393699179708303"/>
    <n v="1309.82"/>
    <n v="0.1091572154917875"/>
    <n v="3601.34"/>
    <n v="0.3001269231185919"/>
    <n v="21.395201951551794"/>
    <n v="18.676624873271152"/>
    <n v="56.701937414680245"/>
    <n v="0.1812693051861422"/>
  </r>
  <r>
    <x v="7"/>
    <x v="2"/>
    <x v="26"/>
    <n v="108494.05000305201"/>
    <n v="8766"/>
    <n v="99728.050003051801"/>
    <n v="71505.370480969505"/>
    <n v="34043.3702764064"/>
    <n v="37462.000204563097"/>
    <n v="14649.240024954101"/>
    <n v="56856.130456015388"/>
    <n v="37483.739656120502"/>
    <n v="224.18999671936001"/>
    <n v="580"/>
    <n v="187.05870690181345"/>
    <n v="122.04503508657233"/>
    <n v="123.28512151891292"/>
    <n v="0.65907181526505954"/>
    <n v="1.2737681550286799"/>
    <n v="77155.25"/>
    <n v="60956.12"/>
    <n v="927.5"/>
    <n v="1.521586347687484E-2"/>
    <n v="642.05999999999995"/>
    <n v="1.053315073203478E-2"/>
    <n v="1775"/>
    <n v="2.9119307462482848E-2"/>
    <n v="3116.71"/>
    <n v="5.1130386907828118E-2"/>
    <n v="16199.13"/>
    <n v="1806.54"/>
    <n v="0.111520803895024"/>
    <n v="1898.4"/>
    <n v="0.11719147880163935"/>
    <n v="1897.76"/>
    <n v="0.1171519705070581"/>
    <n v="7907.13"/>
    <n v="0.48812065833165119"/>
    <n v="22.898552382727264"/>
    <n v="19.543383718988935"/>
    <n v="64.687270387789511"/>
    <n v="0.20695074051915033"/>
  </r>
  <r>
    <x v="7"/>
    <x v="2"/>
    <x v="27"/>
    <n v="118196.36000442501"/>
    <n v="13257"/>
    <n v="104939.36000442501"/>
    <n v="82854.270532965704"/>
    <n v="40890.130342841097"/>
    <n v="41964.140190124497"/>
    <n v="16770.260085225102"/>
    <n v="66084.010447740497"/>
    <n v="41319.249623298601"/>
    <n v="29.379999160766001"/>
    <n v="752"/>
    <n v="157.17601064418218"/>
    <n v="102.19113082708196"/>
    <n v="110.17855124064575"/>
    <n v="0.70098834287167322"/>
    <n v="1.379123823352143"/>
    <n v="101565.44"/>
    <n v="72782"/>
    <n v="1471.54"/>
    <n v="2.0218460608392184E-2"/>
    <n v="2273.5"/>
    <n v="3.1237119067901404E-2"/>
    <n v="449.63"/>
    <n v="6.1777637327910745E-3"/>
    <n v="5466.82"/>
    <n v="7.5112253029595219E-2"/>
    <n v="28783.439999999999"/>
    <n v="5554.33"/>
    <n v="0.19296963809746159"/>
    <n v="3082.77"/>
    <n v="0.10710220877004278"/>
    <n v="1274.1600000000001"/>
    <n v="4.4267120260816639E-2"/>
    <n v="13801.98"/>
    <n v="0.47951113556961922"/>
    <n v="25.947807119406701"/>
    <n v="20.322040673322544"/>
    <n v="86.491589596340688"/>
    <n v="0.21822713568598362"/>
  </r>
  <r>
    <x v="7"/>
    <x v="3"/>
    <x v="28"/>
    <n v="110079.42001060399"/>
    <n v="7617"/>
    <n v="102462.42001060399"/>
    <n v="66961.300194293304"/>
    <n v="28882.110044032299"/>
    <n v="38079.190150260903"/>
    <n v="11217.4699892998"/>
    <n v="55743.830204993399"/>
    <n v="35441.880006719402"/>
    <n v="802.71999931335404"/>
    <n v="534"/>
    <n v="206.14123597491385"/>
    <n v="138.26745319208095"/>
    <n v="125.39569324774008"/>
    <n v="0.60829990008888846"/>
    <n v="1.0693729481998575"/>
    <n v="96987.1"/>
    <n v="70915.199999999997"/>
    <n v="2387.75"/>
    <n v="3.3670496593114031E-2"/>
    <n v="1621.22"/>
    <n v="2.2861389377735662E-2"/>
    <n v="1106.56"/>
    <n v="1.5603988989666532E-2"/>
    <n v="4380.8999999999996"/>
    <n v="6.1776600785163123E-2"/>
    <n v="26071.9"/>
    <n v="1163.6300000000001"/>
    <n v="4.4631576524917636E-2"/>
    <n v="1338.4"/>
    <n v="5.1334962162328024E-2"/>
    <n v="2960.72"/>
    <n v="0.11355980960344278"/>
    <n v="14506"/>
    <n v="0.55638445989743746"/>
    <n v="26.706999292645868"/>
    <n v="20.696497845957762"/>
    <n v="127.12487810163614"/>
    <n v="0.15192655699039165"/>
  </r>
  <r>
    <x v="7"/>
    <x v="3"/>
    <x v="29"/>
    <n v="117503.480007228"/>
    <n v="8186"/>
    <n v="109317.480007228"/>
    <n v="91349.280163655101"/>
    <n v="43783.799936661497"/>
    <n v="47565.480226993597"/>
    <n v="24732.6800463051"/>
    <n v="66616.600117349983"/>
    <n v="45534.699959864804"/>
    <n v="111.199996948242"/>
    <n v="621"/>
    <n v="189.2165539568889"/>
    <n v="115.71268929213358"/>
    <n v="147.10029011860723"/>
    <n v="0.77741765740075019"/>
    <n v="1.9384503766732311"/>
    <n v="122840.69"/>
    <n v="79600.850000000006"/>
    <n v="3747.26"/>
    <n v="4.7075627961259206E-2"/>
    <n v="2329.02"/>
    <n v="2.9258732789913672E-2"/>
    <n v="1869.24"/>
    <n v="2.3482663815775837E-2"/>
    <n v="6309.19"/>
    <n v="7.926033453160361E-2"/>
    <n v="43239.839999999997"/>
    <n v="3920.39"/>
    <n v="9.0666154176333683E-2"/>
    <n v="2915.9"/>
    <n v="6.743549467343081E-2"/>
    <n v="2689.46"/>
    <n v="6.2198657534347959E-2"/>
    <n v="27836.22"/>
    <n v="0.64376325166790638"/>
    <n v="25.819880045727793"/>
    <n v="17.69943085140164"/>
    <n v="166.15796080440629"/>
    <n v="0.34419027232691057"/>
  </r>
  <r>
    <x v="7"/>
    <x v="3"/>
    <x v="30"/>
    <n v="139436.99000434799"/>
    <n v="10555"/>
    <n v="128881.990004348"/>
    <n v="89516.800102261797"/>
    <n v="45895.900031833"/>
    <n v="43620.900070428797"/>
    <n v="16955.330044746399"/>
    <n v="72561.470057515398"/>
    <n v="49058.600005149798"/>
    <n v="725.10999298095703"/>
    <n v="695"/>
    <n v="200.62876259618415"/>
    <n v="128.99752518880177"/>
    <n v="128.80115122627598"/>
    <n v="0.64198746759715941"/>
    <n v="1.231352467981625"/>
    <n v="136351.03999999998"/>
    <n v="96908.01"/>
    <n v="2732.28"/>
    <n v="2.8194573389753855E-2"/>
    <n v="3062.76"/>
    <n v="3.1604817806082285E-2"/>
    <n v="1598.04"/>
    <n v="1.6490277738651325E-2"/>
    <n v="4518.21"/>
    <n v="4.662370014614891E-2"/>
    <n v="39443.03"/>
    <n v="3391.83"/>
    <n v="8.5993139979357563E-2"/>
    <n v="5153.12"/>
    <n v="0.13064716377012617"/>
    <n v="3661.11"/>
    <n v="9.2820201693429749E-2"/>
    <n v="19364.189999999999"/>
    <n v="0.49094073148031475"/>
    <n v="27.824115654194898"/>
    <n v="20.741278538264108"/>
    <n v="172.81888418285379"/>
    <n v="0.18912113470439218"/>
  </r>
  <r>
    <x v="7"/>
    <x v="3"/>
    <x v="31"/>
    <n v="195477.20001298701"/>
    <n v="19371"/>
    <n v="176106.20001298701"/>
    <n v="130927.830146015"/>
    <n v="64492.069932639599"/>
    <n v="66435.760213375106"/>
    <n v="20214.6700718682"/>
    <n v="110713.16007414651"/>
    <n v="56509.220163345301"/>
    <n v="335.58000183105497"/>
    <n v="1388"/>
    <n v="140.83371758860736"/>
    <n v="99.879250610814594"/>
    <n v="94.328407886177743"/>
    <n v="0.66978568414790163"/>
    <n v="1.1056438118999794"/>
    <n v="208162.5"/>
    <n v="141897.30000000002"/>
    <n v="2610.41"/>
    <n v="1.8396474069626408E-2"/>
    <n v="3123.13"/>
    <n v="2.2009791588705349E-2"/>
    <n v="1673.07"/>
    <n v="1.1790710605487207E-2"/>
    <n v="9163.65"/>
    <n v="6.4579452885995703E-2"/>
    <n v="66265.2"/>
    <n v="4831.93"/>
    <n v="7.2918062572813497E-2"/>
    <n v="6152.17"/>
    <n v="9.2841642370354277E-2"/>
    <n v="6533.72"/>
    <n v="9.8599566590005017E-2"/>
    <n v="32277.7"/>
    <n v="0.48709880902796643"/>
    <n v="31.206217141357762"/>
    <n v="22.970882920188487"/>
    <n v="134.33647933325824"/>
    <n v="0.14581490397670152"/>
  </r>
  <r>
    <x v="7"/>
    <x v="3"/>
    <x v="32"/>
    <n v="53268.7900052443"/>
    <n v="4791"/>
    <n v="48477.7900052443"/>
    <n v="25625.860014229998"/>
    <n v="11347.0999803841"/>
    <n v="14278.7600338459"/>
    <n v="2922.3100078105899"/>
    <n v="22703.550006419409"/>
    <n v="14722.1999816895"/>
    <n v="29"/>
    <n v="268"/>
    <n v="198.76414181061307"/>
    <n v="143.72235083415973"/>
    <n v="95.618880650111933"/>
    <n v="0.48106705655801713"/>
    <n v="0.71992297863355426"/>
    <n v="46670.78"/>
    <n v="42673.72"/>
    <n v="2921.24"/>
    <n v="6.8455245992146918E-2"/>
    <n v="385.57"/>
    <n v="9.0353032264353789E-3"/>
    <n v="0"/>
    <n v="0"/>
    <n v="0"/>
    <n v="0"/>
    <n v="3997.06"/>
    <n v="668.75"/>
    <n v="0.16731047319780037"/>
    <n v="528.16"/>
    <n v="0.13213712078377607"/>
    <n v="22.63"/>
    <n v="5.6616613210709868E-3"/>
    <n v="0"/>
    <n v="0"/>
    <n v="30.348348828929183"/>
    <n v="29.381243771727146"/>
    <n v="46.791805411030168"/>
    <n v="7.5869492510395875E-2"/>
  </r>
  <r>
    <x v="7"/>
    <x v="3"/>
    <x v="33"/>
    <n v="104450.77000404301"/>
    <n v="7691"/>
    <n v="96759.770004043399"/>
    <n v="70205.170198170497"/>
    <n v="31548.490019261801"/>
    <n v="38656.680178908602"/>
    <n v="11489.0200539827"/>
    <n v="58716.150144187712"/>
    <n v="36310.169973611803"/>
    <n v="185.76999950408899"/>
    <n v="485"/>
    <n v="215.36241237947092"/>
    <n v="140.1130516101598"/>
    <n v="144.75292824365033"/>
    <n v="0.67213645428801239"/>
    <n v="1.2433217592528192"/>
    <n v="88529.82"/>
    <n v="65459.69"/>
    <n v="1389.34"/>
    <n v="2.1224359602069608E-2"/>
    <n v="719.28"/>
    <n v="1.0988136363004468E-2"/>
    <n v="825.72"/>
    <n v="1.2614175227533159E-2"/>
    <n v="3219.47"/>
    <n v="4.9182481615785222E-2"/>
    <n v="23070.13"/>
    <n v="2885.26"/>
    <n v="0.12506474822638625"/>
    <n v="1875.17"/>
    <n v="8.1281293169999477E-2"/>
    <n v="1777.16"/>
    <n v="7.7032942597202531E-2"/>
    <n v="9950.49"/>
    <n v="0.43131486471901109"/>
    <n v="23.697133968573109"/>
    <n v="18.759652004321143"/>
    <n v="93.590791075050717"/>
    <n v="0.1690684834139663"/>
  </r>
  <r>
    <x v="7"/>
    <x v="3"/>
    <x v="34"/>
    <n v="80486.040003547401"/>
    <n v="4366"/>
    <n v="76120.040003547401"/>
    <n v="43652.700045615398"/>
    <n v="25145.499987632"/>
    <n v="18507.200057983398"/>
    <n v="8899.5200199410301"/>
    <n v="34753.180025674366"/>
    <n v="26387.710025787401"/>
    <n v="55"/>
    <n v="493"/>
    <n v="163.25768763397039"/>
    <n v="109.62135898125761"/>
    <n v="88.545030518489654"/>
    <n v="0.54236362037058128"/>
    <n v="0.96696978138095069"/>
    <n v="68123.989999999991"/>
    <n v="54100.689999999995"/>
    <n v="1805.59"/>
    <n v="3.3374620545505058E-2"/>
    <n v="801.14"/>
    <n v="1.4808313905053707E-2"/>
    <n v="1080.29"/>
    <n v="1.9968137190117169E-2"/>
    <n v="79.010000000000005"/>
    <n v="1.4604249964279572E-3"/>
    <n v="14023.3"/>
    <n v="2850.68"/>
    <n v="0.20328168120199952"/>
    <n v="1300.79"/>
    <n v="9.2759193627748107E-2"/>
    <n v="1092.51"/>
    <n v="7.7906769447990132E-2"/>
    <n v="3372.03"/>
    <n v="0.24045909308080127"/>
    <n v="26.479105801342516"/>
    <n v="21.959710735243235"/>
    <n v="128.52311608961304"/>
    <n v="0.16467379089340672"/>
  </r>
  <r>
    <x v="7"/>
    <x v="3"/>
    <x v="35"/>
    <n v="87474.210001945496"/>
    <n v="7197"/>
    <n v="80277.210001945496"/>
    <n v="57530.480169773102"/>
    <n v="25551.8000097275"/>
    <n v="31978.680160045598"/>
    <n v="6493.9300205707596"/>
    <n v="51036.55014920234"/>
    <n v="30978.590007782001"/>
    <n v="35"/>
    <n v="538"/>
    <n v="162.59146840510314"/>
    <n v="104.94539032372397"/>
    <n v="106.93397801073067"/>
    <n v="0.65768504989634746"/>
    <n v="1.1513766511285379"/>
    <n v="67474.429999999993"/>
    <n v="55385.75"/>
    <n v="1619.29"/>
    <n v="2.923658161169615E-2"/>
    <n v="1161.8800000000001"/>
    <n v="2.0977959132087227E-2"/>
    <n v="1310.25"/>
    <n v="2.36568070306893E-2"/>
    <n v="0"/>
    <n v="0"/>
    <n v="12088.68"/>
    <n v="2798.68"/>
    <n v="0.23151245628141368"/>
    <n v="2776.37"/>
    <n v="0.22966692806824235"/>
    <n v="1176.52"/>
    <n v="9.7324108173928003E-2"/>
    <n v="123.04"/>
    <n v="1.0178117048346057E-2"/>
    <n v="22.063727187027787"/>
    <n v="19.387754466417679"/>
    <n v="60.016615180935574"/>
    <n v="0.1150169803527141"/>
  </r>
  <r>
    <x v="7"/>
    <x v="3"/>
    <x v="36"/>
    <n v="65636.9300000761"/>
    <n v="5351"/>
    <n v="60285.9300000761"/>
    <n v="35725.38007164"/>
    <n v="16485.900015831001"/>
    <n v="19239.480055808999"/>
    <n v="2948.1700019836398"/>
    <n v="32777.210069656358"/>
    <n v="21299.7400169373"/>
    <n v="0"/>
    <n v="368"/>
    <n v="178.36122282629375"/>
    <n v="120.48149451939891"/>
    <n v="97.079837151195647"/>
    <n v="0.54428779761025659"/>
    <n v="0.86316081143999379"/>
    <n v="48127.5"/>
    <n v="42160.19"/>
    <n v="216.73"/>
    <n v="5.1406314819738711E-3"/>
    <n v="0"/>
    <n v="0"/>
    <n v="0"/>
    <n v="0"/>
    <n v="0"/>
    <n v="0"/>
    <n v="5967.31"/>
    <n v="676.75"/>
    <n v="0.11340955975137876"/>
    <n v="0"/>
    <n v="0"/>
    <n v="0"/>
    <n v="0"/>
    <n v="0"/>
    <n v="0"/>
    <n v="24.193098400258641"/>
    <n v="22.977718846387084"/>
    <n v="38.628921815435518"/>
    <n v="6.6494290754664731E-2"/>
  </r>
  <r>
    <x v="7"/>
    <x v="4"/>
    <x v="37"/>
    <n v="63735.6900053024"/>
    <n v="5419"/>
    <n v="58316.6900053024"/>
    <n v="39412.410053729996"/>
    <n v="18772.310001850099"/>
    <n v="20640.100051879901"/>
    <n v="5346.93999180011"/>
    <n v="34065.470061929889"/>
    <n v="20580.049970626798"/>
    <n v="-37.470000267027999"/>
    <n v="331"/>
    <n v="192.55495469879878"/>
    <n v="130.49277956176022"/>
    <n v="119.07072523785497"/>
    <n v="0.61837268962572045"/>
    <n v="1.0413843728124155"/>
    <n v="52302.210000000006"/>
    <n v="42029.98"/>
    <n v="1244.44"/>
    <n v="2.960838905942853E-2"/>
    <n v="2174.48"/>
    <n v="5.1736403395861712E-2"/>
    <n v="851.78"/>
    <n v="2.026601011944331E-2"/>
    <n v="677.43"/>
    <n v="1.6117780688927281E-2"/>
    <n v="10272.23"/>
    <n v="1219.17"/>
    <n v="0.11868601072989994"/>
    <n v="1999.7"/>
    <n v="0.19467048537659301"/>
    <n v="1723.6"/>
    <n v="0.16779219312651683"/>
    <n v="948.73"/>
    <n v="9.2358718603458068E-2"/>
    <n v="24.629240940503962"/>
    <n v="21.348576932261633"/>
    <n v="66.343789020452093"/>
    <n v="0.1237915025677593"/>
  </r>
  <r>
    <x v="7"/>
    <x v="4"/>
    <x v="38"/>
    <n v="160434.170005322"/>
    <n v="10025"/>
    <n v="150409.170005322"/>
    <n v="94627.770078092799"/>
    <n v="45451.5999721587"/>
    <n v="49176.170105934099"/>
    <n v="18277.800040978898"/>
    <n v="76349.970037113904"/>
    <n v="51732.890024512999"/>
    <n v="2439"/>
    <n v="810"/>
    <n v="198.06687654978023"/>
    <n v="131.1879999763074"/>
    <n v="116.82440750381826"/>
    <n v="0.58982304128200225"/>
    <n v="1.0755052498213986"/>
    <n v="161212.84000000003"/>
    <n v="132248.90000000002"/>
    <n v="8414.4500000000007"/>
    <n v="6.3625860026056927E-2"/>
    <n v="5069.08"/>
    <n v="3.8329846221783315E-2"/>
    <n v="7294.99"/>
    <n v="5.5161063721512985E-2"/>
    <n v="9522.9599999999991"/>
    <n v="7.2007857910349332E-2"/>
    <n v="28963.94"/>
    <n v="2611.36"/>
    <n v="9.0159004610560589E-2"/>
    <n v="3071.39"/>
    <n v="0.10604185756495836"/>
    <n v="3665.75"/>
    <n v="0.1265625463938953"/>
    <n v="9506.58"/>
    <n v="0.32822122957028638"/>
    <n v="31.252234012497098"/>
    <n v="27.148411798919319"/>
    <n v="100.8805959752322"/>
    <n v="0.17200647345680778"/>
  </r>
  <r>
    <x v="7"/>
    <x v="4"/>
    <x v="39"/>
    <n v="0"/>
    <n v="0"/>
    <n v="0"/>
    <n v="0"/>
    <n v="0"/>
    <n v="0"/>
    <n v="0"/>
    <n v="0"/>
    <n v="0"/>
    <n v="0"/>
    <n v="0"/>
    <s v="$0.00"/>
    <s v="$0.00"/>
    <s v="$0.00"/>
    <s v="0.00%"/>
    <s v="0.00%"/>
    <n v="0"/>
    <n v="0"/>
    <n v="0"/>
    <s v="0.00%"/>
    <n v="0"/>
    <s v="0.00%"/>
    <n v="0"/>
    <n v="0"/>
    <n v="0"/>
    <s v="0.00%"/>
    <n v="0"/>
    <n v="0"/>
    <s v="0.00%"/>
    <n v="0"/>
    <s v="0.00%"/>
    <n v="0"/>
    <n v="0"/>
    <n v="0"/>
    <s v="0.00%"/>
    <n v="0"/>
    <n v="0"/>
    <n v="0"/>
    <s v="0.00%"/>
  </r>
  <r>
    <x v="7"/>
    <x v="4"/>
    <x v="40"/>
    <n v="185702.740011785"/>
    <n v="20153"/>
    <n v="165549.740011785"/>
    <n v="125986.690180123"/>
    <n v="64667.030114233501"/>
    <n v="61319.660065889402"/>
    <n v="26857.680024378002"/>
    <n v="99129.010155744909"/>
    <n v="55925.5999904778"/>
    <n v="549.77000045776401"/>
    <n v="1196"/>
    <n v="155.26984950818144"/>
    <n v="108.04964048566006"/>
    <n v="105.3400419566245"/>
    <n v="0.67843204775614829"/>
    <n v="1.2307030546294075"/>
    <n v="203040.36"/>
    <n v="153548.18"/>
    <n v="5337.91"/>
    <n v="3.4763746467069818E-2"/>
    <n v="2851.93"/>
    <n v="1.8573518748317305E-2"/>
    <n v="2764.48"/>
    <n v="1.8003990669247922E-2"/>
    <n v="12641.28"/>
    <n v="8.2327774904267847E-2"/>
    <n v="49492.18"/>
    <n v="4464.83"/>
    <n v="9.0212837664455273E-2"/>
    <n v="4524.32"/>
    <n v="9.1414845739266282E-2"/>
    <n v="3736.77"/>
    <n v="7.5502230857480923E-2"/>
    <n v="27419.14"/>
    <n v="0.55400954251762602"/>
    <n v="30.556045091465361"/>
    <n v="24.86196082355152"/>
    <n v="105.56705218751482"/>
    <n v="0.20783275261304787"/>
  </r>
  <r>
    <x v="7"/>
    <x v="4"/>
    <x v="41"/>
    <n v="0"/>
    <n v="0"/>
    <n v="0"/>
    <n v="0"/>
    <n v="0"/>
    <n v="0"/>
    <n v="25.009999999775999"/>
    <n v="-25.009999999775999"/>
    <n v="0"/>
    <n v="22.010000228881001"/>
    <n v="0"/>
    <s v="$0.00"/>
    <s v="$0.00"/>
    <s v="$0.00"/>
    <s v="0.00%"/>
    <n v="0"/>
    <n v="-75"/>
    <n v="-25"/>
    <n v="0"/>
    <n v="0"/>
    <n v="0"/>
    <n v="0"/>
    <n v="0"/>
    <n v="0"/>
    <n v="-25"/>
    <n v="0"/>
    <n v="-50"/>
    <n v="0"/>
    <n v="0"/>
    <n v="0"/>
    <n v="0"/>
    <n v="0"/>
    <n v="0"/>
    <n v="-50"/>
    <n v="1"/>
    <n v="0"/>
    <n v="0"/>
    <n v="0"/>
    <n v="-1.1363016692275392"/>
  </r>
  <r>
    <x v="7"/>
    <x v="4"/>
    <x v="42"/>
    <n v="224370.59000562099"/>
    <n v="17258.7899999619"/>
    <n v="207111.800005659"/>
    <n v="148277.059920339"/>
    <n v="92862.3998234272"/>
    <n v="55414.660096911699"/>
    <n v="21973.850041292601"/>
    <n v="126303.20987904631"/>
    <n v="79397.790150165602"/>
    <n v="358.579999923706"/>
    <n v="1270"/>
    <n v="176.66975590993772"/>
    <n v="113.86946445317447"/>
    <n v="116.75359048845584"/>
    <n v="0.66085782417661909"/>
    <n v="1.2090395694739942"/>
    <n v="297944.99"/>
    <n v="223372.66999999998"/>
    <n v="10341.629999999999"/>
    <n v="4.629765136442162E-2"/>
    <n v="4175.2299999999996"/>
    <n v="1.8691767439588738E-2"/>
    <n v="3648.41"/>
    <n v="1.6333287326511341E-2"/>
    <n v="23965.58"/>
    <n v="0.10728966977025436"/>
    <n v="74572.320000000007"/>
    <n v="5830.09"/>
    <n v="7.8180348955215542E-2"/>
    <n v="7651.68"/>
    <n v="0.10260750905966182"/>
    <n v="7611.06"/>
    <n v="0.10206280292741328"/>
    <n v="41390.22"/>
    <n v="0.55503462947109594"/>
    <n v="38.099807986212866"/>
    <n v="29.95771743398565"/>
    <n v="204.95165480365586"/>
    <n v="0.1519480592105277"/>
  </r>
  <r>
    <x v="7"/>
    <x v="4"/>
    <x v="43"/>
    <n v="0"/>
    <n v="0"/>
    <n v="0"/>
    <n v="0"/>
    <n v="0"/>
    <n v="0"/>
    <n v="0"/>
    <n v="0"/>
    <n v="0"/>
    <n v="0"/>
    <n v="0"/>
    <s v="$0.00"/>
    <s v="$0.00"/>
    <s v="$0.00"/>
    <s v="0.00%"/>
    <s v="0.00%"/>
    <n v="0"/>
    <n v="0"/>
    <n v="0"/>
    <s v="0.00%"/>
    <n v="0"/>
    <s v="0.00%"/>
    <n v="0"/>
    <n v="0"/>
    <n v="0"/>
    <s v="0.00%"/>
    <n v="0"/>
    <n v="0"/>
    <s v="0.00%"/>
    <n v="0"/>
    <s v="0.00%"/>
    <n v="0"/>
    <n v="0"/>
    <n v="0"/>
    <s v="0.00%"/>
    <n v="0"/>
    <n v="0"/>
    <n v="0"/>
    <s v="0.00%"/>
  </r>
  <r>
    <x v="7"/>
    <x v="4"/>
    <x v="44"/>
    <n v="151502.590009993"/>
    <n v="14274"/>
    <n v="137228.590009993"/>
    <n v="98838.600197792097"/>
    <n v="47480.440109729803"/>
    <n v="51358.160088062301"/>
    <n v="18219.530006567002"/>
    <n v="80619.07019122511"/>
    <n v="44485.400033950798"/>
    <n v="351.23000335693399"/>
    <n v="1042"/>
    <n v="145.39595970248848"/>
    <n v="102.36656427321043"/>
    <n v="94.854702685021223"/>
    <n v="0.65238884821225029"/>
    <n v="1.1174967744391135"/>
    <n v="164936.72"/>
    <n v="128506.54"/>
    <n v="5621.46"/>
    <n v="4.3744544051999221E-2"/>
    <n v="3052.93"/>
    <n v="2.3757001005551934E-2"/>
    <n v="2188.5500000000002"/>
    <n v="1.7030650735752439E-2"/>
    <n v="11162.13"/>
    <n v="8.6860404147524314E-2"/>
    <n v="36430.18"/>
    <n v="3474.14"/>
    <n v="9.5364338029622686E-2"/>
    <n v="4224.2"/>
    <n v="0.11595331123809983"/>
    <n v="1871.48"/>
    <n v="5.1371692371544694E-2"/>
    <n v="19654.330000000002"/>
    <n v="0.5395068045230631"/>
    <n v="31.944663783952869"/>
    <n v="26.63457829555492"/>
    <n v="107.6541962174941"/>
    <n v="0.17080922546642444"/>
  </r>
  <r>
    <x v="7"/>
    <x v="4"/>
    <x v="45"/>
    <n v="57994.020002841899"/>
    <n v="3622"/>
    <n v="54372.020002841899"/>
    <n v="37662.650051593802"/>
    <n v="20241.259989738501"/>
    <n v="17421.390061855302"/>
    <n v="5092.2800009846696"/>
    <n v="32570.370050609134"/>
    <n v="19025.639978170399"/>
    <n v="-144.14999961852999"/>
    <n v="398"/>
    <n v="145.7136180975927"/>
    <n v="98.27268850324127"/>
    <n v="94.629773998979402"/>
    <n v="0.64942299309046359"/>
    <n v="1.1070656454844758"/>
    <n v="53766.850000000006"/>
    <n v="41120.590000000004"/>
    <n v="953.37"/>
    <n v="2.3184735433027587E-2"/>
    <n v="621.47"/>
    <n v="1.5113353188755316E-2"/>
    <n v="1107.17"/>
    <n v="2.6924954140979007E-2"/>
    <n v="729.47"/>
    <n v="1.7739774648175038E-2"/>
    <n v="12646.26"/>
    <n v="813.2"/>
    <n v="6.4303596478326397E-2"/>
    <n v="2205.46"/>
    <n v="0.17439622465456189"/>
    <n v="2449.31"/>
    <n v="0.19367860537423712"/>
    <n v="4133.03"/>
    <n v="0.32681836369013445"/>
    <n v="27.526896797018267"/>
    <n v="22.550186056136656"/>
    <n v="97.478879753340181"/>
    <n v="0.13019561756353309"/>
  </r>
  <r>
    <x v="7"/>
    <x v="4"/>
    <x v="46"/>
    <n v="0"/>
    <n v="0"/>
    <n v="0"/>
    <n v="0"/>
    <n v="0"/>
    <n v="0"/>
    <n v="5"/>
    <n v="-5"/>
    <n v="0"/>
    <n v="-205"/>
    <n v="0"/>
    <s v="$0.00"/>
    <s v="$0.00"/>
    <s v="$0.00"/>
    <s v="0.00%"/>
    <n v="0"/>
    <n v="-8.66"/>
    <n v="0"/>
    <n v="0"/>
    <s v="0.00%"/>
    <n v="0"/>
    <s v="0.00%"/>
    <n v="0"/>
    <n v="0"/>
    <n v="0"/>
    <s v="0.00%"/>
    <n v="-8.66"/>
    <n v="0"/>
    <n v="0"/>
    <n v="0"/>
    <n v="0"/>
    <n v="0"/>
    <n v="0"/>
    <n v="-8.66"/>
    <n v="1"/>
    <n v="0"/>
    <n v="0"/>
    <n v="0"/>
    <n v="2.4390243902439025E-2"/>
  </r>
  <r>
    <x v="7"/>
    <x v="4"/>
    <x v="47"/>
    <n v="154013.910009304"/>
    <n v="11490.9900016785"/>
    <n v="142522.920007626"/>
    <n v="108864.540084023"/>
    <n v="59012.569998172999"/>
    <n v="49851.97008585"/>
    <n v="20292.150040566899"/>
    <n v="88572.390043456107"/>
    <n v="52068.350021729202"/>
    <n v="584.190004348755"/>
    <n v="819"/>
    <n v="188.05117217253297"/>
    <n v="123.76235651187612"/>
    <n v="132.92373636632846"/>
    <n v="0.70684875202146435"/>
    <n v="1.3428591043681317"/>
    <n v="199550.78000000003"/>
    <n v="148299.20000000001"/>
    <n v="4714.2"/>
    <n v="3.1788438508097143E-2"/>
    <n v="5138.43"/>
    <n v="3.4649074303839802E-2"/>
    <n v="5649.89"/>
    <n v="3.8097912868039749E-2"/>
    <n v="24233.09"/>
    <n v="0.16340674797975982"/>
    <n v="51251.58"/>
    <n v="3930.42"/>
    <n v="7.6688757692933568E-2"/>
    <n v="4150.96"/>
    <n v="8.0991844544109667E-2"/>
    <n v="4907.79"/>
    <n v="9.5758803923703423E-2"/>
    <n v="32299.78"/>
    <n v="0.63022018052906847"/>
    <n v="37.536888712033289"/>
    <n v="29.502869653047739"/>
    <n v="177.02129830432716"/>
    <n v="0.200196090916342"/>
  </r>
  <r>
    <x v="7"/>
    <x v="4"/>
    <x v="48"/>
    <n v="0"/>
    <n v="0"/>
    <n v="0"/>
    <n v="0"/>
    <n v="0"/>
    <n v="0"/>
    <n v="0"/>
    <n v="0"/>
    <n v="0"/>
    <n v="0"/>
    <n v="0"/>
    <s v="$0.00"/>
    <s v="$0.00"/>
    <s v="$0.00"/>
    <s v="0.00%"/>
    <s v="0.00%"/>
    <n v="0"/>
    <n v="0"/>
    <n v="0"/>
    <s v="0.00%"/>
    <n v="0"/>
    <s v="0.00%"/>
    <n v="0"/>
    <n v="0"/>
    <n v="0"/>
    <s v="0.00%"/>
    <n v="0"/>
    <n v="0"/>
    <s v="0.00%"/>
    <n v="0"/>
    <s v="0.00%"/>
    <n v="0"/>
    <n v="0"/>
    <n v="0"/>
    <s v="0.00%"/>
    <n v="0"/>
    <n v="0"/>
    <n v="0"/>
    <s v="0.00%"/>
  </r>
  <r>
    <x v="7"/>
    <x v="4"/>
    <x v="49"/>
    <n v="124611.39000225101"/>
    <n v="16710"/>
    <n v="107901.39000225101"/>
    <n v="87152.760002313196"/>
    <n v="44576.379962382802"/>
    <n v="42576.3800399303"/>
    <n v="13392.4200249407"/>
    <n v="73760.339977372394"/>
    <n v="49256.259973526001"/>
    <n v="1008"/>
    <n v="873"/>
    <n v="142.73927835309394"/>
    <n v="85.16280644756587"/>
    <n v="99.831340208835158"/>
    <n v="0.69939641954671039"/>
    <n v="1.4297953348789998"/>
    <n v="155578.18"/>
    <n v="107350.27999999998"/>
    <n v="3665.54"/>
    <n v="3.4145602601129692E-2"/>
    <n v="2593.12"/>
    <n v="2.4155689207331368E-2"/>
    <n v="4505.8999999999996"/>
    <n v="4.1973807613729562E-2"/>
    <n v="17022.95"/>
    <n v="0.15857387609981086"/>
    <n v="48227.9"/>
    <n v="3487.71"/>
    <n v="7.2317268634960255E-2"/>
    <n v="5020.54"/>
    <n v="0.1041003236715677"/>
    <n v="5547.91"/>
    <n v="0.11503528040822843"/>
    <n v="26695.34"/>
    <n v="0.55352482691554061"/>
    <n v="38.104393248802715"/>
    <n v="28.764629163785589"/>
    <n v="137.43187790900168"/>
    <n v="0.18013365169262566"/>
  </r>
  <r>
    <x v="7"/>
    <x v="3"/>
    <x v="50"/>
    <n v="9617.6500005721991"/>
    <n v="1410"/>
    <n v="8207.6500005721991"/>
    <n v="3769.01002883911"/>
    <n v="0"/>
    <n v="3769.01002883911"/>
    <n v="0"/>
    <n v="3769.01002883911"/>
    <n v="0"/>
    <n v="0"/>
    <n v="72"/>
    <n v="133.57847223016944"/>
    <n v="133.57847223016944"/>
    <n v="52.347361511654306"/>
    <n v="0.39188471493710769"/>
    <n v="0.39188471493710769"/>
    <n v="6100.64"/>
    <n v="6081.64"/>
    <n v="0"/>
    <n v="0"/>
    <n v="0"/>
    <n v="0"/>
    <n v="0"/>
    <n v="0"/>
    <n v="0"/>
    <n v="0"/>
    <n v="19"/>
    <n v="0"/>
    <n v="0"/>
    <n v="0"/>
    <n v="0"/>
    <n v="0"/>
    <n v="0"/>
    <n v="0"/>
    <n v="0"/>
    <n v="19.02951344549982"/>
    <n v="22.229164253748699"/>
    <n v="0.4042553191489362"/>
    <n v="0"/>
  </r>
  <r>
    <x v="7"/>
    <x v="2"/>
    <x v="18"/>
    <n v="0"/>
    <n v="0"/>
    <n v="0"/>
    <n v="0"/>
    <n v="0"/>
    <n v="0"/>
    <n v="0"/>
    <n v="0"/>
    <n v="0"/>
    <n v="0"/>
    <n v="0"/>
    <s v="$0.00"/>
    <s v="$0.00"/>
    <s v="$0.00"/>
    <s v="0.00%"/>
    <s v="0.00%"/>
    <n v="-30"/>
    <n v="0"/>
    <n v="0"/>
    <s v="0.00%"/>
    <n v="0"/>
    <s v="0.00%"/>
    <n v="0"/>
    <n v="0"/>
    <n v="0"/>
    <s v="0.00%"/>
    <n v="-30"/>
    <n v="0"/>
    <n v="0"/>
    <n v="0"/>
    <n v="0"/>
    <n v="0"/>
    <n v="0"/>
    <n v="-30"/>
    <n v="1"/>
    <n v="-8.3419940736461189E-3"/>
    <n v="0"/>
    <n v="-8.7988007560451026E-2"/>
    <s v="0.00%"/>
  </r>
  <r>
    <x v="8"/>
    <x v="0"/>
    <x v="0"/>
    <n v="0"/>
    <n v="0"/>
    <n v="0"/>
    <n v="11.440000057220001"/>
    <n v="0"/>
    <n v="11.440000057220001"/>
    <n v="20"/>
    <n v="-8.5599999427799993"/>
    <n v="0"/>
    <n v="40.519999027251998"/>
    <n v="0"/>
    <s v="$0.00"/>
    <s v="$0.00"/>
    <s v="$0.00"/>
    <s v="0.00%"/>
    <n v="-0.18902842434066461"/>
    <n v="-183.68"/>
    <n v="-177.68"/>
    <n v="0"/>
    <n v="0"/>
    <n v="0"/>
    <n v="0"/>
    <n v="0"/>
    <n v="0"/>
    <n v="-177.68"/>
    <n v="0"/>
    <n v="-6"/>
    <n v="0"/>
    <n v="0"/>
    <n v="0"/>
    <n v="0"/>
    <n v="0"/>
    <n v="0"/>
    <n v="-6"/>
    <n v="1"/>
    <s v="0.00"/>
    <s v="0.00"/>
    <s v="0.00"/>
    <n v="-0.4935834274465028"/>
  </r>
  <r>
    <x v="8"/>
    <x v="0"/>
    <x v="1"/>
    <n v="153991.540002842"/>
    <n v="11113"/>
    <n v="142878.540002842"/>
    <n v="112160.83980947699"/>
    <n v="62861.129794120803"/>
    <n v="49299.710015356497"/>
    <n v="6415.9899840354901"/>
    <n v="105744.84982544181"/>
    <n v="55309.440053939798"/>
    <n v="7091.0899929609104"/>
    <n v="878"/>
    <n v="175.38899772533256"/>
    <n v="104.31777899309942"/>
    <n v="127.74583121808348"/>
    <n v="0.7283571539540894"/>
    <n v="1.31682786627432"/>
    <n v="166813.75"/>
    <n v="122169.5"/>
    <n v="3303.67"/>
    <n v="2.7041692075354323E-2"/>
    <n v="2737.83"/>
    <n v="2.2410094172440748E-2"/>
    <n v="748.91"/>
    <n v="6.1300897523522647E-3"/>
    <n v="17018.37"/>
    <n v="0.13930129860562579"/>
    <n v="44644.25"/>
    <n v="4340.83"/>
    <n v="9.7231558375378682E-2"/>
    <n v="3025.44"/>
    <n v="6.7767741646460627E-2"/>
    <n v="3779.98"/>
    <n v="8.466891032999771E-2"/>
    <n v="22127.63"/>
    <n v="0.49564344792442477"/>
    <n v="31.431121773110295"/>
    <n v="25.226797298471865"/>
    <n v="96.126282925428825"/>
    <n v="7.0050433848494756E-2"/>
  </r>
  <r>
    <x v="8"/>
    <x v="0"/>
    <x v="2"/>
    <n v="0"/>
    <n v="0"/>
    <n v="0"/>
    <n v="50"/>
    <n v="0"/>
    <n v="50"/>
    <n v="0"/>
    <n v="50"/>
    <n v="0"/>
    <n v="-50"/>
    <n v="0"/>
    <s v="$0.00"/>
    <s v="$0.00"/>
    <s v="$0.00"/>
    <s v="0.00%"/>
    <n v="1"/>
    <n v="-70"/>
    <n v="0"/>
    <n v="0"/>
    <s v="0.00%"/>
    <n v="0"/>
    <s v="0.00%"/>
    <n v="0"/>
    <n v="0"/>
    <n v="0"/>
    <s v="0.00%"/>
    <n v="-70"/>
    <n v="0"/>
    <n v="0"/>
    <n v="0"/>
    <n v="0"/>
    <n v="0"/>
    <n v="0"/>
    <n v="-70"/>
    <n v="1"/>
    <s v="0.00"/>
    <s v="0.00"/>
    <s v="0.00"/>
    <n v="0"/>
  </r>
  <r>
    <x v="8"/>
    <x v="0"/>
    <x v="3"/>
    <n v="210601.48000625501"/>
    <n v="17820"/>
    <n v="192781.48000625501"/>
    <n v="131862.81988658401"/>
    <n v="69116.239849466801"/>
    <n v="62746.580037116997"/>
    <n v="6604.3800067901602"/>
    <n v="125258.43987979364"/>
    <n v="61443.410100936897"/>
    <n v="7406.8300014138204"/>
    <n v="1044"/>
    <n v="201.72555556154694"/>
    <n v="135.77704971638343"/>
    <n v="126.30538303312625"/>
    <n v="0.62612484908780031"/>
    <n v="0.97570021225035908"/>
    <n v="202595.31000000003"/>
    <n v="159713.93000000002"/>
    <n v="5941.18"/>
    <n v="3.7198884280162658E-2"/>
    <n v="5654.17"/>
    <n v="3.5401858810937777E-2"/>
    <n v="3354.72"/>
    <n v="2.1004554831253599E-2"/>
    <n v="15111.7"/>
    <n v="9.4617294809538524E-2"/>
    <n v="42881.380000000005"/>
    <n v="3958.24"/>
    <n v="9.2306730800174791E-2"/>
    <n v="2826.69"/>
    <n v="6.5918820709594692E-2"/>
    <n v="4037.45"/>
    <n v="9.415391948673292E-2"/>
    <n v="19616.13"/>
    <n v="0.45745099621327484"/>
    <n v="31.821332292833212"/>
    <n v="27.463723122458472"/>
    <n v="77.796407837445585"/>
    <n v="4.6591338539736148E-2"/>
  </r>
  <r>
    <x v="8"/>
    <x v="0"/>
    <x v="4"/>
    <n v="0"/>
    <n v="0"/>
    <n v="0"/>
    <n v="0"/>
    <n v="0"/>
    <n v="0"/>
    <n v="0"/>
    <n v="0"/>
    <n v="0"/>
    <n v="0"/>
    <n v="0"/>
    <s v="$0.00"/>
    <s v="$0.00"/>
    <s v="$0.00"/>
    <s v="0.00%"/>
    <s v="0.00%"/>
    <n v="-38.61"/>
    <n v="0"/>
    <n v="0"/>
    <s v="0.00%"/>
    <n v="0"/>
    <s v="0.00%"/>
    <n v="0"/>
    <n v="0"/>
    <n v="0"/>
    <s v="0.00%"/>
    <n v="-38.61"/>
    <n v="0"/>
    <n v="0"/>
    <n v="0"/>
    <n v="0"/>
    <n v="0"/>
    <n v="0"/>
    <n v="-38.61"/>
    <n v="1"/>
    <s v="0.00"/>
    <s v="0.00"/>
    <s v="0.00"/>
    <s v="0.00%"/>
  </r>
  <r>
    <x v="8"/>
    <x v="0"/>
    <x v="5"/>
    <n v="285567.66000762599"/>
    <n v="18169.360000610399"/>
    <n v="267398.300007015"/>
    <n v="221695.029896325"/>
    <n v="123105.419803446"/>
    <n v="98589.610092878298"/>
    <n v="14851.399997005199"/>
    <n v="206843.62989931909"/>
    <n v="106506.530107848"/>
    <n v="15882.2399897426"/>
    <n v="1424"/>
    <n v="200.53908708400661"/>
    <n v="114.59191707165365"/>
    <n v="155.68471200584571"/>
    <n v="0.77633100992740023"/>
    <n v="1.4946321145615897"/>
    <n v="304195.38"/>
    <n v="223515.21000000002"/>
    <n v="7424.26"/>
    <n v="3.3215905083148478E-2"/>
    <n v="6327.14"/>
    <n v="2.8307424805676534E-2"/>
    <n v="1195.8800000000001"/>
    <n v="5.3503294026388632E-3"/>
    <n v="21073.200000000001"/>
    <n v="9.4280832163502429E-2"/>
    <n v="80680.170000000013"/>
    <n v="6253.5"/>
    <n v="7.7509752396406686E-2"/>
    <n v="6283.4"/>
    <n v="7.7880351516363924E-2"/>
    <n v="5919.12"/>
    <n v="7.336523956258395E-2"/>
    <n v="44045.440000000002"/>
    <n v="0.54592646495415165"/>
    <n v="29.417418282701391"/>
    <n v="23.14310226913101"/>
    <n v="118.17930333287759"/>
    <n v="9.1012998097935019E-2"/>
  </r>
  <r>
    <x v="8"/>
    <x v="0"/>
    <x v="6"/>
    <n v="0"/>
    <n v="0"/>
    <n v="0"/>
    <n v="316.31999848037998"/>
    <n v="246.31999848038001"/>
    <n v="70"/>
    <n v="30.559999465941999"/>
    <n v="285.75999901443805"/>
    <n v="72.360001526773004"/>
    <n v="3233.46999549866"/>
    <n v="0"/>
    <s v="$0.00"/>
    <s v="$0.00"/>
    <s v="$0.00"/>
    <s v="0.00%"/>
    <n v="-9.480905973613081E-2"/>
    <n v="2786.7999999999997"/>
    <n v="701.18"/>
    <n v="0"/>
    <n v="0"/>
    <n v="0"/>
    <n v="0"/>
    <n v="0"/>
    <n v="0"/>
    <n v="701.18"/>
    <n v="1"/>
    <n v="2085.62"/>
    <n v="0"/>
    <n v="0"/>
    <n v="0"/>
    <n v="0"/>
    <n v="0"/>
    <n v="0"/>
    <n v="2085.62"/>
    <n v="1"/>
    <s v="0.00"/>
    <s v="0.00"/>
    <s v="0.00"/>
    <n v="-9.2442743557411347E-3"/>
  </r>
  <r>
    <x v="8"/>
    <x v="0"/>
    <x v="7"/>
    <n v="0"/>
    <n v="0"/>
    <n v="0"/>
    <n v="0"/>
    <n v="0"/>
    <n v="0"/>
    <n v="0"/>
    <n v="0"/>
    <n v="0"/>
    <n v="0"/>
    <n v="0"/>
    <s v="$0.00"/>
    <s v="$0.00"/>
    <s v="$0.00"/>
    <s v="0.00%"/>
    <s v="0.00%"/>
    <n v="0"/>
    <n v="0"/>
    <n v="0"/>
    <s v="0.00%"/>
    <n v="0"/>
    <s v="0.00%"/>
    <n v="0"/>
    <n v="0"/>
    <n v="0"/>
    <s v="0.00%"/>
    <n v="0"/>
    <n v="0"/>
    <s v="0.00%"/>
    <n v="0"/>
    <s v="0.00%"/>
    <n v="0"/>
    <n v="0"/>
    <n v="0"/>
    <s v="0.00%"/>
    <s v="0.00"/>
    <s v="0.00"/>
    <s v="0.00"/>
    <s v="0.00%"/>
  </r>
  <r>
    <x v="8"/>
    <x v="0"/>
    <x v="8"/>
    <n v="217875.50001372999"/>
    <n v="11805"/>
    <n v="206070.50001372999"/>
    <n v="152102.63979216901"/>
    <n v="91605.929799282894"/>
    <n v="60496.709992885597"/>
    <n v="6671.3600299544596"/>
    <n v="145431.27976221402"/>
    <n v="68241.960125267506"/>
    <n v="9374.8700059354305"/>
    <n v="1164"/>
    <n v="187.17826461660653"/>
    <n v="120.49713907433596"/>
    <n v="130.67237095547119"/>
    <n v="0.69811722650129704"/>
    <n v="1.1386009641187436"/>
    <n v="234798.06999999998"/>
    <n v="174932.91999999998"/>
    <n v="5884.49"/>
    <n v="3.3638551280113546E-2"/>
    <n v="4192.4399999999996"/>
    <n v="2.39659865049986E-2"/>
    <n v="2960.59"/>
    <n v="1.6924144409182676E-2"/>
    <n v="15644.34"/>
    <n v="8.9430508562939451E-2"/>
    <n v="59865.149999999994"/>
    <n v="5930.3"/>
    <n v="9.9060972869858349E-2"/>
    <n v="4464.8900000000003"/>
    <n v="7.4582457406354122E-2"/>
    <n v="4020.82"/>
    <n v="6.7164619148202265E-2"/>
    <n v="32803.46"/>
    <n v="0.54795586413798347"/>
    <n v="33.759048734794447"/>
    <n v="27.022730195488283"/>
    <n v="124.31300213409668"/>
    <n v="4.7564689124330234E-2"/>
  </r>
  <r>
    <x v="8"/>
    <x v="0"/>
    <x v="9"/>
    <n v="0"/>
    <n v="0"/>
    <n v="0"/>
    <n v="0"/>
    <n v="0"/>
    <n v="0"/>
    <n v="0"/>
    <n v="0"/>
    <n v="0"/>
    <n v="0"/>
    <n v="0"/>
    <s v="$0.00"/>
    <s v="$0.00"/>
    <s v="$0.00"/>
    <s v="0.00%"/>
    <s v="0.00%"/>
    <n v="0"/>
    <n v="0"/>
    <n v="0"/>
    <s v="0.00%"/>
    <n v="0"/>
    <s v="0.00%"/>
    <n v="0"/>
    <n v="0"/>
    <n v="0"/>
    <s v="0.00%"/>
    <n v="0"/>
    <n v="0"/>
    <s v="0.00%"/>
    <n v="0"/>
    <s v="0.00%"/>
    <n v="0"/>
    <n v="0"/>
    <n v="0"/>
    <s v="0.00%"/>
    <s v="0.00"/>
    <s v="0.00"/>
    <s v="0.00"/>
    <s v="0.00%"/>
  </r>
  <r>
    <x v="8"/>
    <x v="0"/>
    <x v="10"/>
    <n v="211082.53000621099"/>
    <n v="12771"/>
    <n v="198311.53000621099"/>
    <n v="136789.409848209"/>
    <n v="82136.789774891004"/>
    <n v="54652.620073318503"/>
    <n v="5994.7700069397697"/>
    <n v="130794.63984126973"/>
    <n v="67928.690124396206"/>
    <n v="11813.929998874701"/>
    <n v="1256"/>
    <n v="168.05933917691956"/>
    <n v="104.569991945016"/>
    <n v="108.90876580271457"/>
    <n v="0.64803757015885943"/>
    <n v="1.091302063913532"/>
    <n v="263224.07"/>
    <n v="188438.55"/>
    <n v="5506.4"/>
    <n v="2.9221197042749478E-2"/>
    <n v="4469.55"/>
    <n v="2.3718872810260961E-2"/>
    <n v="937.25"/>
    <n v="4.9737699637361892E-3"/>
    <n v="23031.72"/>
    <n v="0.12222403536855915"/>
    <n v="74785.52"/>
    <n v="7555.33"/>
    <n v="0.10102664259070472"/>
    <n v="6633.27"/>
    <n v="8.8697250483783491E-2"/>
    <n v="6508.24"/>
    <n v="8.7025402778505775E-2"/>
    <n v="39802.01"/>
    <n v="0.5322154609608919"/>
    <n v="36.742959289427858"/>
    <n v="28.62846217224978"/>
    <n v="128.55881577690764"/>
    <n v="4.5643171312381402E-2"/>
  </r>
  <r>
    <x v="8"/>
    <x v="0"/>
    <x v="11"/>
    <n v="0"/>
    <n v="0"/>
    <n v="0"/>
    <n v="0"/>
    <n v="0"/>
    <n v="0"/>
    <n v="0"/>
    <n v="0"/>
    <n v="0"/>
    <n v="0"/>
    <n v="0"/>
    <s v="$0.00"/>
    <s v="$0.00"/>
    <s v="$0.00"/>
    <s v="0.00%"/>
    <s v="0.00%"/>
    <n v="0"/>
    <n v="0"/>
    <n v="0"/>
    <s v="0.00%"/>
    <n v="0"/>
    <s v="0.00%"/>
    <n v="0"/>
    <n v="0"/>
    <n v="0"/>
    <s v="0.00%"/>
    <n v="0"/>
    <n v="0"/>
    <s v="0.00%"/>
    <n v="0"/>
    <s v="0.00%"/>
    <n v="0"/>
    <n v="0"/>
    <n v="0"/>
    <s v="0.00%"/>
    <n v="0"/>
    <n v="0"/>
    <n v="0"/>
    <s v="0.00%"/>
  </r>
  <r>
    <x v="8"/>
    <x v="0"/>
    <x v="12"/>
    <n v="222882.11000611601"/>
    <n v="19640"/>
    <n v="203242.11000611601"/>
    <n v="154514.66966213699"/>
    <n v="86834.419567246005"/>
    <n v="67680.250094890594"/>
    <n v="8147.5400042533902"/>
    <n v="146367.1296578832"/>
    <n v="75530.450173836201"/>
    <n v="10987.569956183401"/>
    <n v="1337"/>
    <n v="166.70314884526255"/>
    <n v="101.99258779064802"/>
    <n v="115.56818972485908"/>
    <n v="0.69325738910986001"/>
    <n v="1.2051070615812036"/>
    <n v="283885.27999999997"/>
    <n v="195332.11999999997"/>
    <n v="6234.13"/>
    <n v="3.1915539543624472E-2"/>
    <n v="6716.09"/>
    <n v="3.4382926883709662E-2"/>
    <n v="1630.65"/>
    <n v="8.3480893976884112E-3"/>
    <n v="23198.43"/>
    <n v="0.11876403123050118"/>
    <n v="88553.16"/>
    <n v="6396.67"/>
    <n v="7.2235366868895479E-2"/>
    <n v="6314.94"/>
    <n v="7.1312418438822509E-2"/>
    <n v="8148.83"/>
    <n v="9.2021899613746128E-2"/>
    <n v="51436.25"/>
    <n v="0.5808516601779089"/>
    <n v="38.410399604346878"/>
    <n v="29.273862816178095"/>
    <n v="123.28730276591796"/>
    <n v="5.9748427989043416E-2"/>
  </r>
  <r>
    <x v="8"/>
    <x v="0"/>
    <x v="13"/>
    <n v="199520.300006006"/>
    <n v="11664"/>
    <n v="187856.300006006"/>
    <n v="121579.339931786"/>
    <n v="68933.269895046906"/>
    <n v="52646.070036739096"/>
    <n v="5810.2000007629404"/>
    <n v="115769.13993102306"/>
    <n v="63699.780236393199"/>
    <n v="12070.060030111999"/>
    <n v="1006"/>
    <n v="198.33031809742147"/>
    <n v="123.01238542693918"/>
    <n v="120.85421464392246"/>
    <n v="0.60935824539220418"/>
    <n v="1.0308552838624354"/>
    <n v="205159.08"/>
    <n v="149292.09"/>
    <n v="5030.2299999999996"/>
    <n v="3.3693881571354514E-2"/>
    <n v="2214.02"/>
    <n v="1.4830122613997835E-2"/>
    <n v="2628.29"/>
    <n v="1.7605018457441383E-2"/>
    <n v="11038.6"/>
    <n v="7.3939617296535948E-2"/>
    <n v="55866.99"/>
    <n v="4942.3999999999996"/>
    <n v="8.8467268417360592E-2"/>
    <n v="3345.16"/>
    <n v="5.9877219087693827E-2"/>
    <n v="6047.48"/>
    <n v="0.10824782219339184"/>
    <n v="28932.03"/>
    <n v="0.51787343474205427"/>
    <n v="36.545565245531101"/>
    <n v="28.352821434487872"/>
    <n v="160.40928696761844"/>
    <n v="4.6950936691416104E-2"/>
  </r>
  <r>
    <x v="8"/>
    <x v="0"/>
    <x v="14"/>
    <n v="0"/>
    <n v="0"/>
    <n v="0"/>
    <n v="123.959999084473"/>
    <n v="50.389999389647997"/>
    <n v="73.569999694824006"/>
    <n v="66.409999966621001"/>
    <n v="57.549999117851002"/>
    <n v="306.66000366210898"/>
    <n v="3375.8200035095201"/>
    <n v="0"/>
    <s v="$0.00"/>
    <s v="$0.00"/>
    <s v="$0.00"/>
    <s v="0.00%"/>
    <n v="-3.3065787165918487E-2"/>
    <n v="3485.8500000000004"/>
    <n v="625.82000000000005"/>
    <n v="0"/>
    <n v="0"/>
    <n v="0"/>
    <n v="0"/>
    <n v="0"/>
    <n v="0"/>
    <n v="625.82000000000005"/>
    <n v="1"/>
    <n v="2860.03"/>
    <n v="0"/>
    <n v="0"/>
    <n v="0"/>
    <n v="0"/>
    <n v="0"/>
    <n v="0"/>
    <n v="2860.03"/>
    <n v="1"/>
    <s v="0.00"/>
    <s v="0.00"/>
    <s v="0.00"/>
    <n v="-1.8034042231672008E-2"/>
  </r>
  <r>
    <x v="8"/>
    <x v="0"/>
    <x v="15"/>
    <n v="0"/>
    <n v="0"/>
    <n v="0"/>
    <n v="0"/>
    <n v="0"/>
    <n v="0"/>
    <n v="0"/>
    <n v="0"/>
    <n v="0"/>
    <n v="0"/>
    <n v="0"/>
    <s v="$0.00"/>
    <s v="$0.00"/>
    <s v="$0.00"/>
    <s v="0.00%"/>
    <s v="0.00%"/>
    <n v="0"/>
    <n v="0"/>
    <n v="0"/>
    <s v="0.00%"/>
    <n v="0"/>
    <s v="0.00%"/>
    <n v="0"/>
    <n v="0"/>
    <n v="0"/>
    <s v="0.00%"/>
    <n v="0"/>
    <n v="0"/>
    <s v="0.00%"/>
    <n v="0"/>
    <s v="0.00%"/>
    <n v="0"/>
    <n v="0"/>
    <n v="0"/>
    <s v="0.00%"/>
    <s v="0.00"/>
    <s v="0.00"/>
    <s v="0.00"/>
    <s v="0.00%"/>
  </r>
  <r>
    <x v="8"/>
    <x v="0"/>
    <x v="16"/>
    <n v="198377.72000194501"/>
    <n v="10844"/>
    <n v="187533.72000194501"/>
    <n v="122461.839839697"/>
    <n v="58169.549828052499"/>
    <n v="64292.2900116444"/>
    <n v="6162.7800051569902"/>
    <n v="116299.0598345399"/>
    <n v="55278.0101881027"/>
    <n v="3967.5100048035401"/>
    <n v="977"/>
    <n v="203.04781985869499"/>
    <n v="142.40757401129864"/>
    <n v="125.34476953909611"/>
    <n v="0.6173165002526303"/>
    <n v="0.9209774700101524"/>
    <n v="152591.36000000002"/>
    <n v="124670.26000000002"/>
    <n v="2801.96"/>
    <n v="2.2474967165384909E-2"/>
    <n v="1394.35"/>
    <n v="1.1184303297354153E-2"/>
    <n v="1871.71"/>
    <n v="1.5013283841711725E-2"/>
    <n v="11818.48"/>
    <n v="9.479790930090301E-2"/>
    <n v="27921.1"/>
    <n v="2125.2199999999998"/>
    <n v="7.6115196034540186E-2"/>
    <n v="3213.34"/>
    <n v="0.11508644000415458"/>
    <n v="2526.79"/>
    <n v="9.0497509052293784E-2"/>
    <n v="11786.45"/>
    <n v="0.4221341566055779"/>
    <n v="30.265221789554673"/>
    <n v="26.514461815245337"/>
    <n v="82.161157430112794"/>
    <n v="4.4294419362415793E-2"/>
  </r>
  <r>
    <x v="8"/>
    <x v="1"/>
    <x v="17"/>
    <n v="594058.83035458997"/>
    <n v="28143"/>
    <n v="565915.83035458997"/>
    <n v="406489.72998338193"/>
    <n v="270983.72999577958"/>
    <n v="135505.9999876022"/>
    <n v="26083.300027772748"/>
    <n v="380406.42995560908"/>
    <n v="220728.41975135321"/>
    <n v="6374.9899917244875"/>
    <n v="2804"/>
    <n v="211.86120911361982"/>
    <n v="130.86855228655929"/>
    <n v="144.96780669878095"/>
    <n v="0.68425837511875831"/>
    <n v="1.1924991967288874"/>
    <n v="715258.71000000008"/>
    <n v="564758.1100000001"/>
    <n v="25203.879999999997"/>
    <n v="4.4627743371405487E-2"/>
    <n v="19040.259999999998"/>
    <n v="3.3714008994045246E-2"/>
    <n v="6045.46"/>
    <n v="1.0704512060924629E-2"/>
    <n v="31538.39"/>
    <n v="5.5844067471647274E-2"/>
    <n v="150500.6"/>
    <n v="21211.15"/>
    <n v="0.1409373118778264"/>
    <n v="13518.769999999999"/>
    <n v="8.9825356177981999E-2"/>
    <n v="12103.669999999998"/>
    <n v="8.0422735856202548E-2"/>
    <n v="55096.55"/>
    <n v="0.36608857373326087"/>
    <n v="35.590562472313685"/>
    <n v="29.429137962639437"/>
    <n v="166.03768727394706"/>
    <n v="7.1080296304946999E-2"/>
  </r>
  <r>
    <x v="8"/>
    <x v="2"/>
    <x v="18"/>
    <n v="0"/>
    <n v="0"/>
    <n v="0"/>
    <n v="0"/>
    <n v="0"/>
    <n v="0"/>
    <n v="0"/>
    <n v="0"/>
    <n v="0"/>
    <n v="0"/>
    <n v="0"/>
    <s v="$0.00"/>
    <s v="$0.00"/>
    <s v="$0.00"/>
    <s v="0.00%"/>
    <s v="0.00%"/>
    <n v="-30"/>
    <n v="0"/>
    <n v="0"/>
    <s v="0.00%"/>
    <n v="0"/>
    <s v="0.00%"/>
    <n v="0"/>
    <n v="0"/>
    <n v="0"/>
    <s v="0.00%"/>
    <n v="-30"/>
    <n v="0"/>
    <n v="0"/>
    <n v="0"/>
    <n v="0"/>
    <n v="0"/>
    <n v="0"/>
    <n v="-30"/>
    <n v="1"/>
    <s v="0.00"/>
    <s v="0.00"/>
    <s v="0.00"/>
    <s v="0.00%"/>
  </r>
  <r>
    <x v="8"/>
    <x v="2"/>
    <x v="19"/>
    <n v="104364.5"/>
    <n v="7080"/>
    <n v="97284.5"/>
    <n v="58809.690281868003"/>
    <n v="32408.680213928201"/>
    <n v="26401.010067939798"/>
    <n v="3873.8100137710599"/>
    <n v="54935.880268096938"/>
    <n v="35190.569738849998"/>
    <n v="5168.42001562938"/>
    <n v="804"/>
    <n v="129.80659203980099"/>
    <n v="79.608843588955992"/>
    <n v="73.146380947597009"/>
    <n v="0.56350282214611291"/>
    <n v="0.9780147585252621"/>
    <n v="125536.83"/>
    <n v="96823.02"/>
    <n v="3315.44"/>
    <n v="3.424227007172468E-2"/>
    <n v="3767.72"/>
    <n v="3.8913473262866614E-2"/>
    <n v="693.5"/>
    <n v="7.1625528722405064E-3"/>
    <n v="8026.99"/>
    <n v="8.2903735082834634E-2"/>
    <n v="28713.81"/>
    <n v="3368.39"/>
    <n v="0.11730905790628271"/>
    <n v="1827.34"/>
    <n v="6.3639760798027148E-2"/>
    <n v="1207.04"/>
    <n v="4.203691533795062E-2"/>
    <n v="13738.93"/>
    <n v="0.47847812603064516"/>
    <n v="36.184135610301425"/>
    <n v="30.724355440709999"/>
    <n v="90.282381917272218"/>
    <n v="6.0523070574883285E-2"/>
  </r>
  <r>
    <x v="8"/>
    <x v="2"/>
    <x v="20"/>
    <n v="0"/>
    <n v="0"/>
    <n v="0"/>
    <n v="100"/>
    <n v="0"/>
    <n v="100"/>
    <n v="0"/>
    <n v="100"/>
    <n v="0"/>
    <n v="-209.63000297546401"/>
    <n v="0"/>
    <s v="$0.00"/>
    <s v="$0.00"/>
    <s v="$0.00"/>
    <s v="0.00%"/>
    <n v="0.47703095253833694"/>
    <n v="-108.25"/>
    <n v="-108.25"/>
    <n v="0"/>
    <n v="0"/>
    <n v="0"/>
    <n v="0"/>
    <n v="0"/>
    <n v="0"/>
    <n v="-108.25"/>
    <n v="0"/>
    <n v="0"/>
    <n v="0"/>
    <s v="0.00%"/>
    <n v="0"/>
    <s v="0.00%"/>
    <n v="0"/>
    <n v="0"/>
    <n v="0"/>
    <s v="0.00%"/>
    <s v="0.00"/>
    <s v="0.00"/>
    <s v="0.00"/>
    <n v="0"/>
  </r>
  <r>
    <x v="8"/>
    <x v="2"/>
    <x v="21"/>
    <n v="169757.36000061"/>
    <n v="11691"/>
    <n v="158066.36000061"/>
    <n v="111631.200686831"/>
    <n v="54734.050453204698"/>
    <n v="56897.150233626402"/>
    <n v="10351.4200459514"/>
    <n v="101279.7806408797"/>
    <n v="59217.0594706349"/>
    <n v="5120.5200153626502"/>
    <n v="923"/>
    <n v="183.91913326176598"/>
    <n v="114.21428008083689"/>
    <n v="120.94387940068376"/>
    <n v="0.65759269987722457"/>
    <n v="1.1742203203728325"/>
    <n v="152294.75999999998"/>
    <n v="111384.51999999999"/>
    <n v="3930.25"/>
    <n v="3.5285423863208286E-2"/>
    <n v="1550.3"/>
    <n v="1.3918451145634959E-2"/>
    <n v="987.48"/>
    <n v="8.8655048295759598E-3"/>
    <n v="12830.65"/>
    <n v="0.11519239836918094"/>
    <n v="40910.239999999998"/>
    <n v="5470.04"/>
    <n v="0.13370833317037495"/>
    <n v="2829.03"/>
    <n v="6.915212426033189E-2"/>
    <n v="2846.64"/>
    <n v="6.9582578836007811E-2"/>
    <n v="19166.98"/>
    <n v="0.46851301776767873"/>
    <n v="25.974905259245972"/>
    <n v="20.252201823787928"/>
    <n v="112.61424456196428"/>
    <n v="9.8192388519691226E-2"/>
  </r>
  <r>
    <x v="8"/>
    <x v="2"/>
    <x v="22"/>
    <n v="0"/>
    <n v="0"/>
    <n v="0"/>
    <n v="0"/>
    <n v="0"/>
    <n v="0"/>
    <n v="0"/>
    <n v="0"/>
    <n v="0"/>
    <n v="-10"/>
    <n v="0"/>
    <s v="$0.00"/>
    <s v="$0.00"/>
    <s v="$0.00"/>
    <s v="0.00%"/>
    <n v="0"/>
    <n v="0"/>
    <n v="0"/>
    <n v="0"/>
    <s v="0.00%"/>
    <n v="0"/>
    <s v="0.00%"/>
    <n v="0"/>
    <n v="0"/>
    <n v="0"/>
    <s v="0.00%"/>
    <n v="0"/>
    <n v="0"/>
    <s v="0.00%"/>
    <n v="0"/>
    <s v="0.00%"/>
    <n v="0"/>
    <n v="0"/>
    <n v="0"/>
    <s v="0.00%"/>
    <n v="0"/>
    <n v="0"/>
    <n v="0"/>
    <n v="0"/>
  </r>
  <r>
    <x v="8"/>
    <x v="2"/>
    <x v="23"/>
    <n v="136271.939998168"/>
    <n v="5335"/>
    <n v="130936.939998168"/>
    <n v="87017.110473403707"/>
    <n v="52298.3102588654"/>
    <n v="34718.800214538402"/>
    <n v="7103.4300265107304"/>
    <n v="79913.680446893064"/>
    <n v="54269.939709663398"/>
    <n v="2073.1800133250699"/>
    <n v="700"/>
    <n v="194.67419999738286"/>
    <n v="114.18402896454221"/>
    <n v="124.31015781914827"/>
    <n v="0.63855486664806871"/>
    <n v="1.1948732464910394"/>
    <n v="124535.02000000002"/>
    <n v="94978.090000000011"/>
    <n v="3057.77"/>
    <n v="3.2194477694803082E-2"/>
    <n v="1085.57"/>
    <n v="1.1429688678725796E-2"/>
    <n v="1166.92"/>
    <n v="1.2286202007220822E-2"/>
    <n v="11356.33"/>
    <n v="0.11956789192117886"/>
    <n v="29556.93"/>
    <n v="2305.98"/>
    <n v="7.8018251557249008E-2"/>
    <n v="2214.96"/>
    <n v="7.4938770704535279E-2"/>
    <n v="1500.2"/>
    <n v="5.075628625841723E-2"/>
    <n v="14798.2"/>
    <n v="0.50066769451360482"/>
    <n v="27.498165280800734"/>
    <n v="22.287458248952724"/>
    <n v="110.55748721998253"/>
    <n v="8.8871948842169673E-2"/>
  </r>
  <r>
    <x v="8"/>
    <x v="2"/>
    <x v="24"/>
    <n v="96309.700002441197"/>
    <n v="9279"/>
    <n v="87030.700002441197"/>
    <n v="62780.650240212701"/>
    <n v="33068.200175553597"/>
    <n v="29712.4500646591"/>
    <n v="5252.1600022315997"/>
    <n v="57528.490237981096"/>
    <n v="35397.779826313301"/>
    <n v="3731.5900216698601"/>
    <n v="507"/>
    <n v="189.95996055708324"/>
    <n v="112.78171628098232"/>
    <n v="123.82771250535048"/>
    <n v="0.65186217212410968"/>
    <n v="1.2089902273885718"/>
    <n v="89918.21"/>
    <n v="65918.58"/>
    <n v="1531.04"/>
    <n v="2.3226228477615869E-2"/>
    <n v="2824.97"/>
    <n v="4.285544379141662E-2"/>
    <n v="-106.98"/>
    <n v="0"/>
    <n v="5474.05"/>
    <n v="8.304259588116128E-2"/>
    <n v="23999.63"/>
    <n v="3010.55"/>
    <n v="0.12544151722339053"/>
    <n v="2143.4899999999998"/>
    <n v="8.9313460249178828E-2"/>
    <n v="2440.21"/>
    <n v="0.10167698418683954"/>
    <n v="8626.23"/>
    <n v="0.35943179124011493"/>
    <n v="26.351281082726164"/>
    <n v="21.201359034119228"/>
    <n v="79.174762655327896"/>
    <n v="9.1852565174846537E-2"/>
  </r>
  <r>
    <x v="8"/>
    <x v="2"/>
    <x v="25"/>
    <n v="80488.5"/>
    <n v="6484"/>
    <n v="74004.5"/>
    <n v="52750.900243163102"/>
    <n v="28420.600147604899"/>
    <n v="24330.300095558199"/>
    <n v="5071.7300111651402"/>
    <n v="47679.170231997952"/>
    <n v="32385.439739823301"/>
    <n v="-85"/>
    <n v="435"/>
    <n v="185.03103448275863"/>
    <n v="110.77715002339471"/>
    <n v="121.26643734060481"/>
    <n v="0.65538431258084195"/>
    <n v="1.2234552416337057"/>
    <n v="65395.53"/>
    <n v="50940.25"/>
    <n v="1398.96"/>
    <n v="2.7462762746551107E-2"/>
    <n v="1437.25"/>
    <n v="2.8214427687339578E-2"/>
    <n v="610"/>
    <n v="1.1974813629693612E-2"/>
    <n v="4589.4399999999996"/>
    <n v="9.0094571581411542E-2"/>
    <n v="14455.279999999999"/>
    <n v="1613.99"/>
    <n v="0.11165401154457058"/>
    <n v="1760.47"/>
    <n v="0.12178733307137601"/>
    <n v="795.63"/>
    <n v="5.5040787864365136E-2"/>
    <n v="5375.02"/>
    <n v="0.37183783364971146"/>
    <n v="22.291124026192875"/>
    <n v="18.775413395736162"/>
    <n v="65.537010729938032"/>
    <n v="0.10524868574874947"/>
  </r>
  <r>
    <x v="8"/>
    <x v="2"/>
    <x v="26"/>
    <n v="107918.419998169"/>
    <n v="7221"/>
    <n v="100697.419998169"/>
    <n v="68452.230348348603"/>
    <n v="38339.2502288818"/>
    <n v="30112.9801194668"/>
    <n v="5879.9000288341203"/>
    <n v="62572.330319514484"/>
    <n v="40562.8496605158"/>
    <n v="1374.8199853897099"/>
    <n v="537"/>
    <n v="200.96540036902979"/>
    <n v="122.86918128913128"/>
    <n v="127.47156489450391"/>
    <n v="0.63429607614260841"/>
    <n v="1.1389561042810001"/>
    <n v="82785.62"/>
    <n v="66050.5"/>
    <n v="1242.75"/>
    <n v="1.8815149014769002E-2"/>
    <n v="759.69"/>
    <n v="1.150165403744105E-2"/>
    <n v="361.8"/>
    <n v="5.4776269672447602E-3"/>
    <n v="4423.93"/>
    <n v="6.6977994110566916E-2"/>
    <n v="16735.12"/>
    <n v="1187.43"/>
    <n v="7.0954376186128348E-2"/>
    <n v="1526.61"/>
    <n v="9.1221933275650244E-2"/>
    <n v="1773.28"/>
    <n v="0.1059615945389098"/>
    <n v="7084.12"/>
    <n v="0.42330858697159029"/>
    <n v="23.536958226903216"/>
    <n v="20.318057826355101"/>
    <n v="62.811660202677331"/>
    <n v="8.9115385888187432E-2"/>
  </r>
  <r>
    <x v="8"/>
    <x v="2"/>
    <x v="27"/>
    <n v="116029"/>
    <n v="7065"/>
    <n v="108964"/>
    <n v="74659.200437545805"/>
    <n v="40472.130326747902"/>
    <n v="34187.070110797897"/>
    <n v="6095.1000418066997"/>
    <n v="68564.100395739108"/>
    <n v="42435.429616928101"/>
    <n v="3615.0300122201402"/>
    <n v="703"/>
    <n v="165.04836415362732"/>
    <n v="99.542731679732228"/>
    <n v="106.20085410746202"/>
    <n v="0.64345293364198441"/>
    <n v="1.1686784564669332"/>
    <n v="106029.12"/>
    <n v="80274.259999999995"/>
    <n v="1132.81"/>
    <n v="1.4111746405385737E-2"/>
    <n v="1207.73"/>
    <n v="1.5045046818245351E-2"/>
    <n v="1794.5"/>
    <n v="2.235461279867295E-2"/>
    <n v="5947.4"/>
    <n v="7.4088506079034555E-2"/>
    <n v="25754.86"/>
    <n v="2954.53"/>
    <n v="0.11471737761339025"/>
    <n v="3046.45"/>
    <n v="0.11828641273918786"/>
    <n v="3147.81"/>
    <n v="0.12222198062812221"/>
    <n v="10510.27"/>
    <n v="0.40808880343360437"/>
    <n v="26.743675519173248"/>
    <n v="22.10607925422665"/>
    <n v="77.267155571852399"/>
    <n v="8.7099559515040975E-2"/>
  </r>
  <r>
    <x v="8"/>
    <x v="3"/>
    <x v="28"/>
    <n v="107408.230004577"/>
    <n v="6225"/>
    <n v="101183.230004577"/>
    <n v="73165.969939287796"/>
    <n v="37324.199910163901"/>
    <n v="35841.770029123902"/>
    <n v="5409.9000067710904"/>
    <n v="67756.069932516722"/>
    <n v="42796.010052928701"/>
    <n v="3727.3400201797499"/>
    <n v="513"/>
    <n v="209.37276804011111"/>
    <n v="118.68397647459756"/>
    <n v="142.62372307853374"/>
    <n v="0.68119519273495133"/>
    <n v="1.3189003409934417"/>
    <n v="90758.68"/>
    <n v="63788.7"/>
    <n v="2087.4699999999998"/>
    <n v="3.2724761595705823E-2"/>
    <n v="1212.94"/>
    <n v="1.9014966600667517E-2"/>
    <n v="827.45"/>
    <n v="1.2971733238018647E-2"/>
    <n v="3950.35"/>
    <n v="6.1928680158084427E-2"/>
    <n v="26969.98"/>
    <n v="2884.28"/>
    <n v="0.10694409117099828"/>
    <n v="980.41"/>
    <n v="3.6351899408156772E-2"/>
    <n v="1088.98"/>
    <n v="4.0377486375592422E-2"/>
    <n v="12495.28"/>
    <n v="0.46330327274992422"/>
    <n v="25.203478218240239"/>
    <n v="18.846102975492105"/>
    <n v="124.67503210231651"/>
    <n v="8.8854572972147161E-2"/>
  </r>
  <r>
    <x v="8"/>
    <x v="3"/>
    <x v="29"/>
    <n v="134190.540001182"/>
    <n v="6971"/>
    <n v="127219.540001182"/>
    <n v="89828.029967959999"/>
    <n v="42147.569841083103"/>
    <n v="47680.460126876802"/>
    <n v="7192.2900211811102"/>
    <n v="82635.739946778805"/>
    <n v="38766.210147399499"/>
    <n v="5886.6099905967703"/>
    <n v="665"/>
    <n v="201.79028571606315"/>
    <n v="134.64318776418907"/>
    <n v="135.07974431272166"/>
    <n v="0.66940657640373658"/>
    <n v="1.0908684324110285"/>
    <n v="122062.78"/>
    <n v="82751.5"/>
    <n v="1932.16"/>
    <n v="2.3348942315245043E-2"/>
    <n v="1462.15"/>
    <n v="1.7669166117834725E-2"/>
    <n v="783.74"/>
    <n v="9.4710065678567761E-3"/>
    <n v="3735.56"/>
    <n v="4.5141900751043788E-2"/>
    <n v="39311.279999999999"/>
    <n v="2150"/>
    <n v="5.4691681369825662E-2"/>
    <n v="4441.59"/>
    <n v="0.11298512793274602"/>
    <n v="2757.89"/>
    <n v="7.0155181922338827E-2"/>
    <n v="21759.81"/>
    <n v="0.55352585822695166"/>
    <n v="27.644448856609607"/>
    <n v="19.797019040829078"/>
    <n v="166.95838799490349"/>
    <n v="8.0326928496403299E-2"/>
  </r>
  <r>
    <x v="8"/>
    <x v="3"/>
    <x v="30"/>
    <n v="156442.670010375"/>
    <n v="5661.3299999237097"/>
    <n v="150781.34001045101"/>
    <n v="94105.860101440907"/>
    <n v="54341.8300354276"/>
    <n v="39764.0300660133"/>
    <n v="5729.7600088119498"/>
    <n v="88376.100092628942"/>
    <n v="51805.3201828003"/>
    <n v="3138.4700096696602"/>
    <n v="667"/>
    <n v="234.54673164973721"/>
    <n v="152.1722336100521"/>
    <n v="141.08824602914677"/>
    <n v="0.60153575808441606"/>
    <n v="0.98263260943645014"/>
    <n v="148032.89000000001"/>
    <n v="107526.38000000002"/>
    <n v="4541.51"/>
    <n v="4.2236240074296182E-2"/>
    <n v="1500.55"/>
    <n v="1.3955180114870413E-2"/>
    <n v="1393.96"/>
    <n v="1.2963888489503691E-2"/>
    <n v="1845.21"/>
    <n v="1.7160533071047306E-2"/>
    <n v="40506.51"/>
    <n v="4009.18"/>
    <n v="9.8976189259454825E-2"/>
    <n v="2901.73"/>
    <n v="7.1636139474864649E-2"/>
    <n v="4234.3500000000004"/>
    <n v="0.10453504881067266"/>
    <n v="19802.080000000002"/>
    <n v="0.48886166692711863"/>
    <n v="31.27894869611216"/>
    <n v="23.891222288078399"/>
    <n v="174.59426647056441"/>
    <n v="5.6451460539185018E-2"/>
  </r>
  <r>
    <x v="8"/>
    <x v="3"/>
    <x v="31"/>
    <n v="204886.640003279"/>
    <n v="14410"/>
    <n v="190476.640003279"/>
    <n v="137545.24996215099"/>
    <n v="74113.299817830295"/>
    <n v="63431.950144320697"/>
    <n v="9100.4700108766592"/>
    <n v="128444.77995127434"/>
    <n v="71514.680238723799"/>
    <n v="6989.7600123360799"/>
    <n v="1344"/>
    <n v="152.44541666910641"/>
    <n v="94.034374815639239"/>
    <n v="102.34021574564807"/>
    <n v="0.67132366444171143"/>
    <n v="1.1727764440846706"/>
    <n v="202739.65"/>
    <n v="136855.76999999999"/>
    <n v="4590.67"/>
    <n v="3.3543854234278907E-2"/>
    <n v="1042.7"/>
    <n v="7.6189699564731548E-3"/>
    <n v="1671.03"/>
    <n v="1.2210153799141973E-2"/>
    <n v="7545.55"/>
    <n v="5.5135052033246396E-2"/>
    <n v="65883.88"/>
    <n v="6938.51"/>
    <n v="0.10531422860948687"/>
    <n v="4640.71"/>
    <n v="7.0437715568664142E-2"/>
    <n v="5739.04"/>
    <n v="8.7108409522936414E-2"/>
    <n v="30270.21"/>
    <n v="0.45944789529699825"/>
    <n v="29.839517262137417"/>
    <n v="21.75744079118542"/>
    <n v="130.65285563194078"/>
    <n v="7.2007529768580922E-2"/>
  </r>
  <r>
    <x v="8"/>
    <x v="3"/>
    <x v="32"/>
    <n v="48969.920004615597"/>
    <n v="2215"/>
    <n v="46754.920004615597"/>
    <n v="34875.760022401802"/>
    <n v="21581.410001277902"/>
    <n v="13294.350021123901"/>
    <n v="1247.4399998188001"/>
    <n v="33628.320022583001"/>
    <n v="22154.200033187899"/>
    <n v="-165"/>
    <n v="220"/>
    <n v="222.59054547552543"/>
    <n v="122.63963623376226"/>
    <n v="158.52618192000818"/>
    <n v="0.7121874003289087"/>
    <n v="1.3552784589014557"/>
    <n v="39600.22"/>
    <n v="34563.39"/>
    <n v="1150.74"/>
    <n v="3.3293609220623327E-2"/>
    <n v="853.53"/>
    <n v="2.4694626308356907E-2"/>
    <n v="189"/>
    <n v="5.4682136214069281E-3"/>
    <n v="0"/>
    <n v="0"/>
    <n v="5036.8300000000008"/>
    <n v="659.52"/>
    <n v="0.13093949964561041"/>
    <n v="570.19000000000005"/>
    <n v="0.11320413831715583"/>
    <n v="369.35"/>
    <n v="7.3329852307899998E-2"/>
    <n v="178.26"/>
    <n v="3.5391307628012056E-2"/>
    <n v="24.877170002822279"/>
    <n v="23.078214146493213"/>
    <n v="53.488460176991161"/>
    <n v="4.6234496378889302E-2"/>
  </r>
  <r>
    <x v="8"/>
    <x v="3"/>
    <x v="33"/>
    <n v="96734.050004482298"/>
    <n v="5095"/>
    <n v="91639.050004482298"/>
    <n v="65730.189911127105"/>
    <n v="36866.649902582198"/>
    <n v="28863.5400085449"/>
    <n v="4786.6100140511999"/>
    <n v="60943.579897075891"/>
    <n v="38356.100121507399"/>
    <n v="300.129985809326"/>
    <n v="426"/>
    <n v="227.07523475230587"/>
    <n v="136.33291055672669"/>
    <n v="154.29622044865513"/>
    <n v="0.67949382774815481"/>
    <n v="1.2334152303033765"/>
    <n v="87139.87"/>
    <n v="63170.86"/>
    <n v="2401.89"/>
    <n v="3.8022119692529117E-2"/>
    <n v="1651.62"/>
    <n v="2.6145282809193985E-2"/>
    <n v="183.42"/>
    <n v="2.9035539487668838E-3"/>
    <n v="2183.85"/>
    <n v="3.4570528246726413E-2"/>
    <n v="23969.010000000002"/>
    <n v="2974.43"/>
    <n v="0.12409482077065342"/>
    <n v="2131.63"/>
    <n v="8.8932751081500658E-2"/>
    <n v="2042.42"/>
    <n v="8.5210861858708381E-2"/>
    <n v="11095.62"/>
    <n v="0.46291523930274969"/>
    <n v="24.401958978948265"/>
    <n v="18.957782636008822"/>
    <n v="100.3587299371947"/>
    <n v="8.2417177892119969E-2"/>
  </r>
  <r>
    <x v="8"/>
    <x v="3"/>
    <x v="34"/>
    <n v="86724.470001945301"/>
    <n v="4114"/>
    <n v="82610.470001945301"/>
    <n v="52120.029900938302"/>
    <n v="30864.829907417301"/>
    <n v="21255.199993521001"/>
    <n v="1805.99000179768"/>
    <n v="50314.039899140618"/>
    <n v="30839.630079269398"/>
    <n v="0"/>
    <n v="484"/>
    <n v="179.18278926021756"/>
    <n v="115.46454529478493"/>
    <n v="107.68601219202128"/>
    <n v="0.60098412708396154"/>
    <n v="0.96377844531076684"/>
    <n v="77097.070000000007"/>
    <n v="61823.46"/>
    <n v="1629.32"/>
    <n v="2.6354396858409412E-2"/>
    <n v="2100.8000000000002"/>
    <n v="3.3980628065786035E-2"/>
    <n v="797.02"/>
    <n v="1.2891869850053686E-2"/>
    <n v="247.15"/>
    <n v="3.9976733751232946E-3"/>
    <n v="15273.61"/>
    <n v="2370.7600000000002"/>
    <n v="0.15521936202377828"/>
    <n v="1795.99"/>
    <n v="0.11758778703921338"/>
    <n v="1161.26"/>
    <n v="7.6030486571282099E-2"/>
    <n v="4360.95"/>
    <n v="0.2855218903716934"/>
    <n v="28.820815025303297"/>
    <n v="24.243824374219727"/>
    <n v="122.21060633001422"/>
    <n v="3.2316277621918695E-2"/>
  </r>
  <r>
    <x v="8"/>
    <x v="3"/>
    <x v="35"/>
    <n v="95312.700002670303"/>
    <n v="4425"/>
    <n v="90887.700002670303"/>
    <n v="57517.529924154303"/>
    <n v="29392.559941768599"/>
    <n v="28124.969982385599"/>
    <n v="3682.73002355173"/>
    <n v="53834.799900602462"/>
    <n v="33091.3201522827"/>
    <n v="198.339998245239"/>
    <n v="505"/>
    <n v="188.73801980726793"/>
    <n v="122.81790069731161"/>
    <n v="113.89609885971127"/>
    <n v="0.60346134274386065"/>
    <n v="0.98589688832894717"/>
    <n v="74472.070000000007"/>
    <n v="60540.520000000011"/>
    <n v="1975.19"/>
    <n v="3.2625917319507654E-2"/>
    <n v="503.4"/>
    <n v="8.3150921069062491E-3"/>
    <n v="860.57"/>
    <n v="1.4214777144299386E-2"/>
    <n v="605.4"/>
    <n v="9.9999141071137124E-3"/>
    <n v="13931.55"/>
    <n v="1638.25"/>
    <n v="0.11759280194953182"/>
    <n v="1935.72"/>
    <n v="0.13894505636486967"/>
    <n v="2395.04"/>
    <n v="0.17191482641917089"/>
    <n v="1770.86"/>
    <n v="0.1271114843646256"/>
    <n v="23.670859703999501"/>
    <n v="20.470591894341446"/>
    <n v="73.824746820536973"/>
    <n v="5.9376806301836289E-2"/>
  </r>
  <r>
    <x v="8"/>
    <x v="3"/>
    <x v="36"/>
    <n v="81294.080006599397"/>
    <n v="3771"/>
    <n v="77523.080006599397"/>
    <n v="46537.949941635103"/>
    <n v="25222.8099479675"/>
    <n v="21315.139993667599"/>
    <n v="1539.5200076103199"/>
    <n v="44998.429934024782"/>
    <n v="30510.180149078398"/>
    <n v="85.620000839233001"/>
    <n v="416"/>
    <n v="195.41846155432546"/>
    <n v="121.8708650401004"/>
    <n v="111.87007197508439"/>
    <n v="0.57246419343028654"/>
    <n v="0.94668681806695643"/>
    <n v="58848.87"/>
    <n v="51578.16"/>
    <n v="1325.16"/>
    <n v="2.5692269751383143E-2"/>
    <n v="189"/>
    <n v="3.6643416515827628E-3"/>
    <n v="0"/>
    <n v="0"/>
    <n v="0"/>
    <n v="0"/>
    <n v="7270.71"/>
    <n v="1585.67"/>
    <n v="0.21809011774640991"/>
    <n v="-27.61"/>
    <n v="0"/>
    <n v="0"/>
    <n v="0"/>
    <n v="0"/>
    <n v="0"/>
    <n v="25.361639793090781"/>
    <n v="23.783227680902733"/>
    <n v="47.92470338362385"/>
    <n v="3.0366316410780934E-2"/>
  </r>
  <r>
    <x v="8"/>
    <x v="4"/>
    <x v="37"/>
    <n v="72022.750002860994"/>
    <n v="4569"/>
    <n v="67453.750002860994"/>
    <n v="43838.679952502302"/>
    <n v="24742.289960861199"/>
    <n v="19096.389991641001"/>
    <n v="2607.5199980735802"/>
    <n v="41231.159954428622"/>
    <n v="24571.8601074219"/>
    <n v="43"/>
    <n v="310"/>
    <n v="232.33145162213225"/>
    <n v="152.92867708206157"/>
    <n v="141.41509662097485"/>
    <n v="0.60867822945889705"/>
    <n v="0.97853388382581497"/>
    <n v="57793.91"/>
    <n v="46477.08"/>
    <n v="1700.56"/>
    <n v="3.6589217739152288E-2"/>
    <n v="1050.22"/>
    <n v="2.259651423884633E-2"/>
    <n v="914.25"/>
    <n v="1.9670986215140882E-2"/>
    <n v="415"/>
    <n v="8.929132380949922E-3"/>
    <n v="11316.83"/>
    <n v="1472.72"/>
    <n v="0.13013538243483377"/>
    <n v="946.11"/>
    <n v="8.3602033431623521E-2"/>
    <n v="1816.44"/>
    <n v="0.16050784539486765"/>
    <n v="3202.61"/>
    <n v="0.28299532642975112"/>
    <n v="25.682028707848836"/>
    <n v="22.234793481536464"/>
    <n v="70.695821475671551"/>
    <n v="5.500181517938512E-2"/>
  </r>
  <r>
    <x v="8"/>
    <x v="4"/>
    <x v="38"/>
    <n v="174504.54000570299"/>
    <n v="9956"/>
    <n v="164548.54000570299"/>
    <n v="110721.18985265501"/>
    <n v="61115.329848349102"/>
    <n v="49605.860004305803"/>
    <n v="6493.4800007343301"/>
    <n v="104227.70985192058"/>
    <n v="56590.210131764397"/>
    <n v="581.32999992370605"/>
    <n v="844"/>
    <n v="206.7589336560462"/>
    <n v="139.02014203082334"/>
    <n v="131.1862439012499"/>
    <n v="0.63448887833540846"/>
    <n v="0.99893242030675578"/>
    <n v="162281.62"/>
    <n v="131672.56"/>
    <n v="5807.32"/>
    <n v="4.4104253764034054E-2"/>
    <n v="4204.24"/>
    <n v="3.1929507560269202E-2"/>
    <n v="3399.25"/>
    <n v="2.5815933099500761E-2"/>
    <n v="11719.26"/>
    <n v="8.9003054243040461E-2"/>
    <n v="30609.059999999998"/>
    <n v="4513.4399999999996"/>
    <n v="0.14745438115381523"/>
    <n v="2599.9899999999998"/>
    <n v="8.4941844016118109E-2"/>
    <n v="2963.74"/>
    <n v="9.6825580400051486E-2"/>
    <n v="12520.21"/>
    <n v="0.40903608278071918"/>
    <n v="30.617221014005622"/>
    <n v="26.265263922634801"/>
    <n v="106.59400247639682"/>
    <n v="5.5342316379080381E-2"/>
  </r>
  <r>
    <x v="8"/>
    <x v="4"/>
    <x v="39"/>
    <n v="0"/>
    <n v="0"/>
    <n v="0"/>
    <n v="0"/>
    <n v="0"/>
    <n v="0"/>
    <n v="0"/>
    <n v="0"/>
    <n v="0"/>
    <n v="0"/>
    <n v="0"/>
    <s v="$0.00"/>
    <s v="$0.00"/>
    <s v="$0.00"/>
    <s v="0.00%"/>
    <s v="0.00%"/>
    <n v="0"/>
    <n v="0"/>
    <n v="0"/>
    <s v="0.00%"/>
    <n v="0"/>
    <s v="0.00%"/>
    <n v="0"/>
    <n v="0"/>
    <n v="0"/>
    <s v="0.00%"/>
    <n v="0"/>
    <n v="0"/>
    <s v="0.00%"/>
    <n v="0"/>
    <s v="0.00%"/>
    <n v="0"/>
    <n v="0"/>
    <n v="0"/>
    <s v="0.00%"/>
    <n v="0"/>
    <n v="0"/>
    <n v="0"/>
    <s v="0.00%"/>
  </r>
  <r>
    <x v="8"/>
    <x v="4"/>
    <x v="40"/>
    <n v="204209.24000657699"/>
    <n v="9156"/>
    <n v="195053.24000657699"/>
    <n v="138307.70999163401"/>
    <n v="79162.629873394995"/>
    <n v="59145.080118238897"/>
    <n v="7728.8200109377503"/>
    <n v="130578.88998069614"/>
    <n v="65565.610157052099"/>
    <n v="6538.2499930858603"/>
    <n v="1029"/>
    <n v="198.45407192087171"/>
    <n v="128.38229334930907"/>
    <n v="134.40982506475598"/>
    <n v="0.67728428932588658"/>
    <n v="1.1120078426629398"/>
    <n v="201091.59"/>
    <n v="157301.68"/>
    <n v="2760.71"/>
    <n v="1.7550416499048198E-2"/>
    <n v="3962.06"/>
    <n v="2.5187652159849788E-2"/>
    <n v="1771.78"/>
    <n v="1.1263579638818862E-2"/>
    <n v="9325.07"/>
    <n v="5.9281439333642209E-2"/>
    <n v="43789.91"/>
    <n v="4216.01"/>
    <n v="9.6278115209645326E-2"/>
    <n v="3693.03"/>
    <n v="8.433518132373416E-2"/>
    <n v="2966.56"/>
    <n v="6.7745286528334947E-2"/>
    <n v="23599.5"/>
    <n v="0.53892551960029145"/>
    <n v="30.588006899429427"/>
    <n v="25.719991187604339"/>
    <n v="95.5555208030259"/>
    <n v="5.8504960353142163E-2"/>
  </r>
  <r>
    <x v="8"/>
    <x v="4"/>
    <x v="41"/>
    <n v="0"/>
    <n v="0"/>
    <n v="0"/>
    <n v="0"/>
    <n v="0"/>
    <n v="0"/>
    <n v="0"/>
    <n v="0"/>
    <n v="0"/>
    <n v="0"/>
    <n v="0"/>
    <s v="$0.00"/>
    <s v="$0.00"/>
    <s v="$0.00"/>
    <s v="0.00%"/>
    <s v="0.00%"/>
    <n v="-75"/>
    <n v="-25"/>
    <n v="0"/>
    <n v="0"/>
    <n v="0"/>
    <n v="0"/>
    <n v="0"/>
    <n v="0"/>
    <n v="-25"/>
    <n v="0"/>
    <n v="-50"/>
    <n v="0"/>
    <n v="0"/>
    <n v="0"/>
    <n v="0"/>
    <n v="0"/>
    <n v="0"/>
    <n v="-50"/>
    <n v="1"/>
    <n v="0"/>
    <n v="0"/>
    <n v="0"/>
    <s v="0.00%"/>
  </r>
  <r>
    <x v="8"/>
    <x v="4"/>
    <x v="42"/>
    <n v="208168.91001334801"/>
    <n v="8145"/>
    <n v="200023.91001334801"/>
    <n v="151699.06999628601"/>
    <n v="102425.189907223"/>
    <n v="49273.880089063197"/>
    <n v="7108.9400416612598"/>
    <n v="144590.12995462492"/>
    <n v="85288.640240073204"/>
    <n v="12040.7799932417"/>
    <n v="1008"/>
    <n v="206.51677580689287"/>
    <n v="109.95981128971539"/>
    <n v="150.49510912329978"/>
    <n v="0.72873067350239318"/>
    <n v="1.4624338767981087"/>
    <n v="256426.15999999997"/>
    <n v="188807.19999999998"/>
    <n v="8732.25"/>
    <n v="4.6249560398120414E-2"/>
    <n v="5029.46"/>
    <n v="2.6638073124330006E-2"/>
    <n v="2060.59"/>
    <n v="1.091372574774691E-2"/>
    <n v="20093.91"/>
    <n v="0.10642554944938541"/>
    <n v="67618.960000000006"/>
    <n v="5191.3100000000004"/>
    <n v="7.6772993846696252E-2"/>
    <n v="5950.22"/>
    <n v="8.7996325291013047E-2"/>
    <n v="6620.55"/>
    <n v="9.7909669122388146E-2"/>
    <n v="37047.760000000002"/>
    <n v="0.54789011839282942"/>
    <n v="34.573501035230407"/>
    <n v="26.814638099691336"/>
    <n v="180.00899792642051"/>
    <n v="6.4137249781367006E-2"/>
  </r>
  <r>
    <x v="8"/>
    <x v="4"/>
    <x v="43"/>
    <n v="0"/>
    <n v="0"/>
    <n v="0"/>
    <n v="0"/>
    <n v="0"/>
    <n v="0"/>
    <n v="0"/>
    <n v="0"/>
    <n v="0"/>
    <n v="0"/>
    <n v="0"/>
    <s v="$0.00"/>
    <s v="$0.00"/>
    <s v="$0.00"/>
    <s v="0.00%"/>
    <s v="0.00%"/>
    <n v="0"/>
    <n v="0"/>
    <n v="0"/>
    <s v="0.00%"/>
    <n v="0"/>
    <s v="0.00%"/>
    <n v="0"/>
    <n v="0"/>
    <n v="0"/>
    <s v="0.00%"/>
    <n v="0"/>
    <n v="0"/>
    <s v="0.00%"/>
    <n v="0"/>
    <s v="0.00%"/>
    <n v="0"/>
    <n v="0"/>
    <n v="0"/>
    <s v="0.00%"/>
    <n v="0"/>
    <n v="0"/>
    <n v="0"/>
    <s v="0.00%"/>
  </r>
  <r>
    <x v="8"/>
    <x v="4"/>
    <x v="44"/>
    <n v="136857.54000307099"/>
    <n v="6836"/>
    <n v="130021.540003071"/>
    <n v="102870.590030313"/>
    <n v="61376.1800278425"/>
    <n v="41494.410002470002"/>
    <n v="6379.8300206661197"/>
    <n v="96490.760009646387"/>
    <n v="54171.270026970698"/>
    <n v="4358.7800072114896"/>
    <n v="797"/>
    <n v="171.71585947687706"/>
    <n v="98.277904603373685"/>
    <n v="129.07225850729299"/>
    <n v="0.75166183776212947"/>
    <n v="1.4297975793006132"/>
    <n v="140670.81"/>
    <n v="105297.48"/>
    <n v="3481.6"/>
    <n v="3.3064419015535793E-2"/>
    <n v="1606.74"/>
    <n v="1.525905463264648E-2"/>
    <n v="1294.04"/>
    <n v="1.2289372927063402E-2"/>
    <n v="8146.34"/>
    <n v="7.7365004366676204E-2"/>
    <n v="35373.33"/>
    <n v="3955.92"/>
    <n v="0.11183340669368702"/>
    <n v="3935.77"/>
    <n v="0.11126376849451267"/>
    <n v="3923.34"/>
    <n v="0.11091237381383093"/>
    <n v="16531.59"/>
    <n v="0.46734616164211851"/>
    <n v="29.192234539804055"/>
    <n v="23.392465578735568"/>
    <n v="111.43546151422871"/>
    <n v="8.14507144707452E-2"/>
  </r>
  <r>
    <x v="8"/>
    <x v="4"/>
    <x v="45"/>
    <n v="69957.020005473896"/>
    <n v="4031"/>
    <n v="65926.020005473896"/>
    <n v="42781.380010008797"/>
    <n v="22954.839988112399"/>
    <n v="19826.540021896399"/>
    <n v="1912.28000366688"/>
    <n v="40869.10000634192"/>
    <n v="21390.660063266801"/>
    <n v="0"/>
    <n v="420"/>
    <n v="166.56433334636642"/>
    <n v="115.63419033858833"/>
    <n v="101.86042859525904"/>
    <n v="0.61153805589004939"/>
    <n v="0.91699118418725378"/>
    <n v="60249.930000000008"/>
    <n v="46271.810000000005"/>
    <n v="1099.01"/>
    <n v="2.3751178093098149E-2"/>
    <n v="857.73"/>
    <n v="1.853677217294936E-2"/>
    <n v="294"/>
    <n v="6.3537605293590193E-3"/>
    <n v="755"/>
    <n v="1.6316629930836938E-2"/>
    <n v="13978.119999999999"/>
    <n v="1652.66"/>
    <n v="0.11823192246167584"/>
    <n v="790.56"/>
    <n v="5.6556961880424549E-2"/>
    <n v="1623.9"/>
    <n v="0.11617442116679498"/>
    <n v="6623.99"/>
    <n v="0.47388275390395851"/>
    <n v="28.694639256339364"/>
    <n v="23.467929261460455"/>
    <n v="109.21354284226061"/>
    <n v="3.9374579563764944E-2"/>
  </r>
  <r>
    <x v="8"/>
    <x v="4"/>
    <x v="46"/>
    <n v="0"/>
    <n v="0"/>
    <n v="0"/>
    <n v="0"/>
    <n v="0"/>
    <n v="0"/>
    <n v="0"/>
    <n v="0"/>
    <n v="0"/>
    <n v="-42.040000915527003"/>
    <n v="0"/>
    <s v="$0.00"/>
    <s v="$0.00"/>
    <s v="$0.00"/>
    <s v="0.00%"/>
    <n v="0"/>
    <n v="-8.66"/>
    <n v="0"/>
    <n v="0"/>
    <s v="0.00%"/>
    <n v="0"/>
    <s v="0.00%"/>
    <n v="0"/>
    <n v="0"/>
    <n v="0"/>
    <s v="0.00%"/>
    <n v="-8.66"/>
    <n v="0"/>
    <n v="0"/>
    <n v="0"/>
    <n v="0"/>
    <n v="0"/>
    <n v="0"/>
    <n v="-8.66"/>
    <n v="1"/>
    <n v="0"/>
    <n v="0"/>
    <n v="0"/>
    <n v="0"/>
  </r>
  <r>
    <x v="8"/>
    <x v="4"/>
    <x v="47"/>
    <n v="157225.39001933701"/>
    <n v="10360"/>
    <n v="146865.39001933701"/>
    <n v="107403.41999138299"/>
    <n v="61479.439972171604"/>
    <n v="45923.980019211798"/>
    <n v="5500.5800031423596"/>
    <n v="101902.83998824104"/>
    <n v="55794.020074902102"/>
    <n v="10769.390006780601"/>
    <n v="804"/>
    <n v="195.55396768574255"/>
    <n v="112.76365663887351"/>
    <n v="133.58634327286492"/>
    <n v="0.68311752941540771"/>
    <n v="1.2611748993555212"/>
    <n v="183308.59999999998"/>
    <n v="138078.76999999999"/>
    <n v="5414.32"/>
    <n v="3.9211820904835694E-2"/>
    <n v="3524.29"/>
    <n v="2.5523764442571442E-2"/>
    <n v="1488.01"/>
    <n v="1.0776529947362655E-2"/>
    <n v="18895.03"/>
    <n v="0.13684239800224177"/>
    <n v="45229.83"/>
    <n v="2010.03"/>
    <n v="4.4440361593222878E-2"/>
    <n v="3039.17"/>
    <n v="6.7193929316117257E-2"/>
    <n v="4297.8900000000003"/>
    <n v="9.5023350739987314E-2"/>
    <n v="25621.99"/>
    <n v="0.56648433124776287"/>
    <n v="35.308030507871052"/>
    <n v="28.453569347402748"/>
    <n v="133.45198945336182"/>
    <n v="6.0671298011856278E-2"/>
  </r>
  <r>
    <x v="8"/>
    <x v="4"/>
    <x v="48"/>
    <n v="0"/>
    <n v="0"/>
    <n v="0"/>
    <n v="0"/>
    <n v="0"/>
    <n v="0"/>
    <n v="0"/>
    <n v="0"/>
    <n v="0"/>
    <n v="0"/>
    <n v="0"/>
    <s v="$0.00"/>
    <s v="$0.00"/>
    <s v="$0.00"/>
    <s v="0.00%"/>
    <s v="0.00%"/>
    <n v="0"/>
    <n v="0"/>
    <n v="0"/>
    <s v="0.00%"/>
    <n v="0"/>
    <s v="0.00%"/>
    <n v="0"/>
    <n v="0"/>
    <n v="0"/>
    <s v="0.00%"/>
    <n v="0"/>
    <n v="0"/>
    <s v="0.00%"/>
    <n v="0"/>
    <s v="0.00%"/>
    <n v="0"/>
    <n v="0"/>
    <n v="0"/>
    <s v="0.00%"/>
    <n v="0"/>
    <n v="0"/>
    <n v="0"/>
    <s v="0.00%"/>
  </r>
  <r>
    <x v="8"/>
    <x v="4"/>
    <x v="49"/>
    <n v="130521.31000280401"/>
    <n v="7234"/>
    <n v="123287.31000280401"/>
    <n v="82631.689918488293"/>
    <n v="48580.049943894097"/>
    <n v="34051.639974594102"/>
    <n v="3818.5500183105501"/>
    <n v="78813.139900177659"/>
    <n v="45566.4100578129"/>
    <n v="7512.50001525879"/>
    <n v="677"/>
    <n v="192.79366322423044"/>
    <n v="114.39054642501081"/>
    <n v="122.05567196231641"/>
    <n v="0.63308964579587057"/>
    <n v="1.1223494834609156"/>
    <n v="148729.08000000002"/>
    <n v="106897.87000000001"/>
    <n v="2494.5700000000002"/>
    <n v="2.3336012214275177E-2"/>
    <n v="2529.66"/>
    <n v="2.3664269456444731E-2"/>
    <n v="1202.6099999999999"/>
    <n v="1.1250083841707975E-2"/>
    <n v="14253.24"/>
    <n v="0.13333511696725106"/>
    <n v="41831.21"/>
    <n v="2585.84"/>
    <n v="6.1816045961854804E-2"/>
    <n v="3506.25"/>
    <n v="8.3818995434270252E-2"/>
    <n v="3919.18"/>
    <n v="9.3690333126868669E-2"/>
    <n v="23498.63"/>
    <n v="0.56174875170954897"/>
    <n v="34.948830065109192"/>
    <n v="27.453184837743979"/>
    <n v="115.61970702045329"/>
    <n v="4.930826035576541E-2"/>
  </r>
  <r>
    <x v="8"/>
    <x v="3"/>
    <x v="50"/>
    <n v="36328.210002899199"/>
    <n v="3434"/>
    <n v="32894.210002899199"/>
    <n v="17637.809976577799"/>
    <n v="6736.4099559783899"/>
    <n v="10901.4000205994"/>
    <n v="361.45000648498501"/>
    <n v="17276.359970092803"/>
    <n v="8106.2000560760498"/>
    <n v="0"/>
    <n v="233"/>
    <n v="155.91506439012531"/>
    <n v="121.12450620954141"/>
    <n v="75.698755264282354"/>
    <n v="0.48551277299845463"/>
    <n v="0.63307449722289055"/>
    <n v="18710.560000000001"/>
    <n v="17972.91"/>
    <n v="0"/>
    <n v="0"/>
    <n v="0"/>
    <n v="0"/>
    <n v="0"/>
    <n v="0"/>
    <n v="0"/>
    <n v="0"/>
    <n v="737.65"/>
    <n v="0"/>
    <n v="0"/>
    <n v="0"/>
    <n v="0"/>
    <n v="0"/>
    <n v="0"/>
    <n v="0"/>
    <n v="0"/>
    <n v="24.433835821446817"/>
    <n v="26.23663746382578"/>
    <n v="9.1368703550784485"/>
    <n v="1.2807380025945747E-2"/>
  </r>
  <r>
    <x v="9"/>
    <x v="0"/>
    <x v="0"/>
    <n v="0"/>
    <n v="0"/>
    <n v="0"/>
    <n v="50"/>
    <n v="0"/>
    <n v="50"/>
    <n v="6"/>
    <n v="44"/>
    <n v="0"/>
    <n v="-50"/>
    <n v="0"/>
    <s v="$0.00"/>
    <s v="$0.00"/>
    <s v="$0.00"/>
    <s v="0.00%"/>
    <n v="1.1363636363636365"/>
    <n v="-227.68"/>
    <n v="-177.68"/>
    <n v="0"/>
    <n v="0"/>
    <n v="0"/>
    <n v="0"/>
    <n v="0"/>
    <n v="0"/>
    <n v="-177.68"/>
    <n v="0"/>
    <n v="-50"/>
    <n v="0"/>
    <n v="0"/>
    <n v="0"/>
    <n v="0"/>
    <n v="0"/>
    <n v="0"/>
    <n v="-50"/>
    <n v="1"/>
    <s v="0.00"/>
    <s v="0.00"/>
    <s v="0.00"/>
    <n v="0.12"/>
  </r>
  <r>
    <x v="9"/>
    <x v="0"/>
    <x v="1"/>
    <n v="167552.56001167212"/>
    <n v="9162"/>
    <n v="158390.56001167212"/>
    <n v="107914.84985711412"/>
    <n v="58917.309883728616"/>
    <n v="48997.539973385603"/>
    <n v="3882.4599896669401"/>
    <n v="104032.38986744729"/>
    <n v="65461.470011711099"/>
    <n v="-102.670006752014"/>
    <n v="915"/>
    <n v="183.11755192532473"/>
    <n v="111.68716940624375"/>
    <n v="117.93972661979697"/>
    <n v="0.64406565826028928"/>
    <n v="1.0976851067822617"/>
    <n v="174661.77000000002"/>
    <n v="133278.18000000002"/>
    <n v="3834.49"/>
    <n v="2.8770575948741189E-2"/>
    <n v="5197.5600000000004"/>
    <n v="3.8997831452980525E-2"/>
    <n v="6042.67"/>
    <n v="4.5338779386093049E-2"/>
    <n v="16213.51"/>
    <n v="0.12165164620345204"/>
    <n v="41383.589999999997"/>
    <n v="2996.53"/>
    <n v="7.2408652801750656E-2"/>
    <n v="3626.19"/>
    <n v="8.7623862502020741E-2"/>
    <n v="2208.35"/>
    <n v="5.3362939271339199E-2"/>
    <n v="24773.3"/>
    <n v="0.59862617042165756"/>
    <n v="32.367040211796535"/>
    <n v="26.843141906710347"/>
    <n v="134.47873700173309"/>
    <n v="3.7991164914686612E-2"/>
  </r>
  <r>
    <x v="9"/>
    <x v="0"/>
    <x v="2"/>
    <n v="0"/>
    <n v="0"/>
    <n v="0"/>
    <n v="204.5"/>
    <n v="0"/>
    <n v="204.5"/>
    <n v="0"/>
    <n v="204.5"/>
    <n v="0"/>
    <n v="0"/>
    <n v="0"/>
    <s v="$0.00"/>
    <s v="$0.00"/>
    <s v="$0.00"/>
    <s v="0.00%"/>
    <s v="0.00%"/>
    <n v="-70"/>
    <n v="0"/>
    <n v="0"/>
    <s v="0.00%"/>
    <n v="0"/>
    <s v="0.00%"/>
    <n v="0"/>
    <n v="0"/>
    <n v="0"/>
    <s v="0.00%"/>
    <n v="-70"/>
    <n v="0"/>
    <n v="0"/>
    <n v="0"/>
    <n v="0"/>
    <n v="0"/>
    <n v="0"/>
    <n v="-70"/>
    <n v="1"/>
    <s v="0.00"/>
    <s v="0.00"/>
    <s v="0.00"/>
    <s v="0.00%"/>
  </r>
  <r>
    <x v="9"/>
    <x v="0"/>
    <x v="3"/>
    <n v="200585.39000831399"/>
    <n v="12573"/>
    <n v="188012.39000831399"/>
    <n v="125552.14991717599"/>
    <n v="63123.669883241899"/>
    <n v="62428.480033934102"/>
    <n v="5534.2200164794904"/>
    <n v="120017.9299006965"/>
    <n v="78121.1800415982"/>
    <n v="-258.18999862670898"/>
    <n v="949"/>
    <n v="211.36500527746469"/>
    <n v="129.31759743450212"/>
    <n v="132.29942035529609"/>
    <n v="0.62592868758772524"/>
    <n v="1.0713721296120713"/>
    <n v="227141.81"/>
    <n v="185742.41"/>
    <n v="8211.14"/>
    <n v="4.4207136108549462E-2"/>
    <n v="9220.7900000000009"/>
    <n v="4.9642889849442574E-2"/>
    <n v="8838.16"/>
    <n v="4.7582886428576006E-2"/>
    <n v="15957.27"/>
    <n v="8.5910751346448017E-2"/>
    <n v="41399.399999999994"/>
    <n v="2636.83"/>
    <n v="6.3692468972980296E-2"/>
    <n v="2091.5700000000002"/>
    <n v="5.0521746691981055E-2"/>
    <n v="2139.98"/>
    <n v="5.1691087310444118E-2"/>
    <n v="22122.69"/>
    <n v="0.53437223727880123"/>
    <n v="34.952830228468493"/>
    <n v="31.300846104441597"/>
    <n v="73.348281428402686"/>
    <n v="4.509543504724798E-2"/>
  </r>
  <r>
    <x v="9"/>
    <x v="0"/>
    <x v="4"/>
    <n v="0"/>
    <n v="0"/>
    <n v="0"/>
    <n v="0"/>
    <n v="0"/>
    <n v="0"/>
    <n v="0"/>
    <n v="0"/>
    <n v="0"/>
    <n v="0"/>
    <n v="0"/>
    <s v="$0.00"/>
    <s v="$0.00"/>
    <s v="$0.00"/>
    <s v="0.00%"/>
    <s v="0.00%"/>
    <n v="-38.61"/>
    <n v="0"/>
    <n v="0"/>
    <s v="0.00%"/>
    <n v="0"/>
    <s v="0.00%"/>
    <n v="0"/>
    <n v="0"/>
    <n v="0"/>
    <s v="0.00%"/>
    <n v="-38.61"/>
    <n v="0"/>
    <n v="0"/>
    <n v="0"/>
    <n v="0"/>
    <n v="0"/>
    <n v="0"/>
    <n v="-38.61"/>
    <n v="1"/>
    <s v="0.00"/>
    <n v="0"/>
    <n v="0"/>
    <s v="0.00%"/>
  </r>
  <r>
    <x v="9"/>
    <x v="0"/>
    <x v="5"/>
    <n v="324333.320009096"/>
    <n v="16985"/>
    <n v="307348.320009096"/>
    <n v="203222.93978846099"/>
    <n v="116247.079767227"/>
    <n v="86975.860021233602"/>
    <n v="7777.7500053644198"/>
    <n v="195445.1897830962"/>
    <n v="133347.16033985099"/>
    <n v="-741.37999975681305"/>
    <n v="1483"/>
    <n v="218.70082266291033"/>
    <n v="129.28357361362228"/>
    <n v="137.03502345816631"/>
    <n v="0.62658668490416336"/>
    <n v="1.1047739720717553"/>
    <n v="331670.28999999998"/>
    <n v="252072.77999999997"/>
    <n v="11515.8"/>
    <n v="4.5684424950603555E-2"/>
    <n v="15558.27"/>
    <n v="6.1721340955576409E-2"/>
    <n v="13339.76"/>
    <n v="5.292027167709263E-2"/>
    <n v="19984.86"/>
    <n v="7.9282102573709087E-2"/>
    <n v="79597.510000000009"/>
    <n v="4096.1899999999996"/>
    <n v="5.1461283148178869E-2"/>
    <n v="3539.65"/>
    <n v="4.4469355888142728E-2"/>
    <n v="4413.75"/>
    <n v="5.5450855183786521E-2"/>
    <n v="50488.72"/>
    <n v="0.6343002438141595"/>
    <n v="32.408903366837698"/>
    <n v="26.314385601656312"/>
    <n v="121.58817556913981"/>
    <n v="4.0566681337443317E-2"/>
  </r>
  <r>
    <x v="9"/>
    <x v="0"/>
    <x v="6"/>
    <n v="0"/>
    <n v="0"/>
    <n v="0"/>
    <n v="0"/>
    <n v="0"/>
    <n v="0"/>
    <n v="0"/>
    <n v="0"/>
    <n v="0"/>
    <n v="0"/>
    <n v="0"/>
    <s v="$0.00"/>
    <s v="$0.00"/>
    <s v="$0.00"/>
    <s v="0.00%"/>
    <s v="0.00%"/>
    <n v="0"/>
    <n v="0"/>
    <n v="0"/>
    <s v="0.00%"/>
    <n v="0"/>
    <s v="0.00%"/>
    <n v="0"/>
    <n v="0"/>
    <n v="0"/>
    <s v="0.00%"/>
    <n v="0"/>
    <n v="0"/>
    <s v="0.00%"/>
    <n v="0"/>
    <s v="0.00%"/>
    <n v="0"/>
    <n v="0"/>
    <n v="0"/>
    <s v="0.00%"/>
    <s v="0.00"/>
    <s v="0.00"/>
    <s v="0.00"/>
    <s v="0.00%"/>
  </r>
  <r>
    <x v="9"/>
    <x v="0"/>
    <x v="7"/>
    <n v="0"/>
    <n v="0"/>
    <n v="0"/>
    <n v="0"/>
    <n v="0"/>
    <n v="0"/>
    <n v="0"/>
    <n v="0"/>
    <n v="0"/>
    <n v="0"/>
    <n v="0"/>
    <s v="$0.00"/>
    <s v="$0.00"/>
    <s v="$0.00"/>
    <s v="0.00%"/>
    <s v="0.00%"/>
    <n v="0"/>
    <n v="0"/>
    <n v="0"/>
    <s v="0.00%"/>
    <n v="0"/>
    <s v="0.00%"/>
    <n v="0"/>
    <n v="0"/>
    <n v="0"/>
    <s v="0.00%"/>
    <n v="0"/>
    <n v="0"/>
    <s v="0.00%"/>
    <n v="0"/>
    <s v="0.00%"/>
    <n v="0"/>
    <n v="0"/>
    <n v="0"/>
    <s v="0.00%"/>
    <n v="0"/>
    <n v="0"/>
    <n v="0"/>
    <s v="0.00%"/>
  </r>
  <r>
    <x v="9"/>
    <x v="0"/>
    <x v="8"/>
    <n v="222914.82001148001"/>
    <n v="11289"/>
    <n v="211625.82001148001"/>
    <n v="139568.59989154001"/>
    <n v="84318.759814199104"/>
    <n v="55249.840077340603"/>
    <n v="4867.3100016117096"/>
    <n v="134701.28988992801"/>
    <n v="84709.780212670594"/>
    <n v="-1095.51999771595"/>
    <n v="1108"/>
    <n v="201.18666066018051"/>
    <n v="125.7225268921709"/>
    <n v="125.96444033532465"/>
    <n v="0.626107317065559"/>
    <n v="1.0381999996612472"/>
    <n v="263289.32999999996"/>
    <n v="205475.99"/>
    <n v="8472.17"/>
    <n v="4.1231922036243748E-2"/>
    <n v="11773.55"/>
    <n v="5.7298908743547115E-2"/>
    <n v="8043.47"/>
    <n v="3.9145546883604262E-2"/>
    <n v="18572.099999999999"/>
    <n v="9.0385742879253189E-2"/>
    <n v="57813.34"/>
    <n v="2516.46"/>
    <n v="4.3527324316498583E-2"/>
    <n v="2575.8000000000002"/>
    <n v="4.4553731024708144E-2"/>
    <n v="3640.12"/>
    <n v="6.2963322997771798E-2"/>
    <n v="36554.559999999998"/>
    <n v="0.63228590494858106"/>
    <n v="36.729786114126497"/>
    <n v="30.745505779834836"/>
    <n v="119.16454287284719"/>
    <n v="3.4941065626163524E-2"/>
  </r>
  <r>
    <x v="9"/>
    <x v="0"/>
    <x v="9"/>
    <n v="0"/>
    <n v="0"/>
    <n v="0"/>
    <n v="0"/>
    <n v="0"/>
    <n v="0"/>
    <n v="0"/>
    <n v="0"/>
    <n v="0"/>
    <n v="0"/>
    <n v="0"/>
    <s v="$0.00"/>
    <s v="$0.00"/>
    <s v="$0.00"/>
    <s v="0.00%"/>
    <s v="0.00%"/>
    <n v="0"/>
    <n v="0"/>
    <n v="0"/>
    <s v="0.00%"/>
    <n v="0"/>
    <s v="0.00%"/>
    <n v="0"/>
    <n v="0"/>
    <n v="0"/>
    <s v="0.00%"/>
    <n v="0"/>
    <n v="0"/>
    <s v="0.00%"/>
    <n v="0"/>
    <s v="0.00%"/>
    <n v="0"/>
    <n v="0"/>
    <n v="0"/>
    <s v="0.00%"/>
    <n v="0"/>
    <n v="0"/>
    <n v="0"/>
    <s v="0.00%"/>
  </r>
  <r>
    <x v="9"/>
    <x v="0"/>
    <x v="10"/>
    <n v="228493.18000451699"/>
    <n v="13541.5"/>
    <n v="214951.68000451699"/>
    <n v="143253.27982152399"/>
    <n v="87218.539808401794"/>
    <n v="56034.740013122602"/>
    <n v="4194.7900149822199"/>
    <n v="139058.48980654217"/>
    <n v="85804.690316475899"/>
    <n v="-11.309997558593"/>
    <n v="1254"/>
    <n v="182.21146730822727"/>
    <n v="113.79569352918635"/>
    <n v="114.23706524842456"/>
    <n v="0.6269477269242455"/>
    <n v="1.0342822989738705"/>
    <n v="296398.82999999996"/>
    <n v="224745.62999999998"/>
    <n v="11538.77"/>
    <n v="5.1341465460307288E-2"/>
    <n v="11593.3"/>
    <n v="5.1584095317003496E-2"/>
    <n v="11364.6"/>
    <n v="5.0566500447639412E-2"/>
    <n v="21937.31"/>
    <n v="9.7609506356141407E-2"/>
    <n v="71653.2"/>
    <n v="2961.52"/>
    <n v="4.1331301323597552E-2"/>
    <n v="5026.13"/>
    <n v="7.014522728922086E-2"/>
    <n v="4275.8999999999996"/>
    <n v="5.9674934266718022E-2"/>
    <n v="46354.13"/>
    <n v="0.64692337536913913"/>
    <n v="40.98891211349045"/>
    <n v="33.799041519775983"/>
    <n v="123.17307637210989"/>
    <n v="2.9395906821343142E-2"/>
  </r>
  <r>
    <x v="9"/>
    <x v="0"/>
    <x v="11"/>
    <n v="0"/>
    <n v="0"/>
    <n v="0"/>
    <n v="0"/>
    <n v="0"/>
    <n v="0"/>
    <n v="0"/>
    <n v="0"/>
    <n v="0"/>
    <n v="0"/>
    <n v="0"/>
    <s v="$0.00"/>
    <s v="$0.00"/>
    <s v="$0.00"/>
    <s v="0.00%"/>
    <s v="0.00%"/>
    <n v="0"/>
    <n v="0"/>
    <n v="0"/>
    <s v="0.00%"/>
    <n v="0"/>
    <s v="0.00%"/>
    <n v="0"/>
    <n v="0"/>
    <n v="0"/>
    <s v="0.00%"/>
    <n v="0"/>
    <n v="0"/>
    <s v="0.00%"/>
    <n v="0"/>
    <s v="0.00%"/>
    <n v="0"/>
    <n v="0"/>
    <n v="0"/>
    <s v="0.00%"/>
    <n v="0"/>
    <n v="0"/>
    <n v="0"/>
    <s v="0.00%"/>
  </r>
  <r>
    <x v="9"/>
    <x v="0"/>
    <x v="12"/>
    <n v="246819.490006423"/>
    <n v="20183"/>
    <n v="226636.490006423"/>
    <n v="172073.249705959"/>
    <n v="103381.309636265"/>
    <n v="68691.940069694101"/>
    <n v="6188.1099929809598"/>
    <n v="165885.13971297815"/>
    <n v="95518.050221080004"/>
    <n v="-938.17000768706203"/>
    <n v="1356"/>
    <n v="182.02027286609365"/>
    <n v="112.27109866742632"/>
    <n v="126.89767677430613"/>
    <n v="0.69716232580126158"/>
    <n v="1.1781683169398116"/>
    <n v="279585.61"/>
    <n v="193494.39"/>
    <n v="8786.31"/>
    <n v="4.5408603319197001E-2"/>
    <n v="7124.35"/>
    <n v="3.6819413730806355E-2"/>
    <n v="9695.1299999999992"/>
    <n v="5.0105483678364003E-2"/>
    <n v="22647.26"/>
    <n v="0.11704349671326386"/>
    <n v="86091.22"/>
    <n v="4323.33"/>
    <n v="5.0218012940227819E-2"/>
    <n v="5004.62"/>
    <n v="5.8131595765514764E-2"/>
    <n v="4573.67"/>
    <n v="5.3125858827415849E-2"/>
    <n v="57589.81"/>
    <n v="0.66893941101078591"/>
    <n v="37.409783166483514"/>
    <n v="28.668872331328611"/>
    <n v="118.85944959194944"/>
    <n v="4.0647174551969111E-2"/>
  </r>
  <r>
    <x v="9"/>
    <x v="0"/>
    <x v="13"/>
    <n v="219460.410008159"/>
    <n v="11696"/>
    <n v="207764.410008159"/>
    <n v="134177.79993727099"/>
    <n v="75242.019889853895"/>
    <n v="58935.780047416702"/>
    <n v="4508.4099938869504"/>
    <n v="129669.38994338363"/>
    <n v="80064.410307236001"/>
    <n v="-163.76999664306601"/>
    <n v="1058"/>
    <n v="207.42949906253213"/>
    <n v="131.90904508276563"/>
    <n v="126.82211714297786"/>
    <n v="0.6113986569708959"/>
    <n v="0.99353164774997282"/>
    <n v="224818.73"/>
    <n v="169615.26"/>
    <n v="5715.42"/>
    <n v="3.3696378498019576E-2"/>
    <n v="9683.15"/>
    <n v="5.7088908156023223E-2"/>
    <n v="6007.92"/>
    <n v="3.5420869560910971E-2"/>
    <n v="12490.43"/>
    <n v="7.3639777458702704E-2"/>
    <n v="55203.47"/>
    <n v="2327.84"/>
    <n v="4.2168363691630253E-2"/>
    <n v="3351.75"/>
    <n v="6.0716291928750131E-2"/>
    <n v="1990.5"/>
    <n v="3.6057515949631427E-2"/>
    <n v="34612.11"/>
    <n v="0.62699156411725565"/>
    <n v="35.496582605571142"/>
    <n v="28.452791095246781"/>
    <n v="148.29897618052655"/>
    <n v="3.23045101296522E-2"/>
  </r>
  <r>
    <x v="9"/>
    <x v="0"/>
    <x v="14"/>
    <n v="0"/>
    <n v="0"/>
    <n v="0"/>
    <n v="132.11999893188499"/>
    <n v="124.86999893188499"/>
    <n v="7.25"/>
    <n v="313.19000244140602"/>
    <n v="-181.07000350952103"/>
    <n v="83.440002441405994"/>
    <n v="-167"/>
    <n v="0"/>
    <s v="$0.00"/>
    <s v="$0.00"/>
    <s v="$0.00"/>
    <s v="0.00%"/>
    <n v="-0.57536034543617376"/>
    <n v="3459.73"/>
    <n v="458.88"/>
    <n v="0"/>
    <n v="0"/>
    <n v="0"/>
    <n v="0"/>
    <n v="0"/>
    <n v="0"/>
    <n v="458.88"/>
    <n v="1"/>
    <n v="3000.85"/>
    <n v="0"/>
    <n v="0"/>
    <n v="0"/>
    <n v="0"/>
    <n v="0"/>
    <n v="0"/>
    <n v="3000.85"/>
    <n v="1"/>
    <s v="0.00"/>
    <s v="0.00"/>
    <s v="0.00"/>
    <n v="3.7480853469603166"/>
  </r>
  <r>
    <x v="9"/>
    <x v="0"/>
    <x v="15"/>
    <n v="0"/>
    <n v="0"/>
    <n v="0"/>
    <n v="0"/>
    <n v="0"/>
    <n v="0"/>
    <n v="0"/>
    <n v="0"/>
    <n v="0"/>
    <n v="0"/>
    <n v="0"/>
    <s v="$0.00"/>
    <s v="$0.00"/>
    <s v="$0.00"/>
    <s v="0.00%"/>
    <s v="0.00%"/>
    <n v="0"/>
    <n v="0"/>
    <n v="0"/>
    <s v="0.00%"/>
    <n v="0"/>
    <s v="0.00%"/>
    <n v="0"/>
    <n v="0"/>
    <n v="0"/>
    <s v="0.00%"/>
    <n v="0"/>
    <n v="0"/>
    <s v="0.00%"/>
    <n v="0"/>
    <s v="0.00%"/>
    <n v="0"/>
    <n v="0"/>
    <n v="0"/>
    <s v="0.00%"/>
    <s v="0.00"/>
    <s v="0.00"/>
    <s v="0.00"/>
    <s v="0.00%"/>
  </r>
  <r>
    <x v="9"/>
    <x v="0"/>
    <x v="16"/>
    <n v="210957.30000686599"/>
    <n v="11603.8099999428"/>
    <n v="199353.490006924"/>
    <n v="133710.53003144299"/>
    <n v="70545.750051259995"/>
    <n v="63164.779980182597"/>
    <n v="6817.9399937391299"/>
    <n v="126892.59003770346"/>
    <n v="81646.700199842497"/>
    <n v="87.200004577635994"/>
    <n v="995"/>
    <n v="212.01738694157467"/>
    <n v="129.87276362054942"/>
    <n v="134.38244224265586"/>
    <n v="0.63382746189437489"/>
    <n v="1.0923575650988309"/>
    <n v="172786.5"/>
    <n v="143415.04999999999"/>
    <n v="5080.62"/>
    <n v="3.542598911341592E-2"/>
    <n v="3979.18"/>
    <n v="2.7745902539517298E-2"/>
    <n v="4396.58"/>
    <n v="3.0656336277120153E-2"/>
    <n v="12100.34"/>
    <n v="8.4372874394981562E-2"/>
    <n v="29371.45"/>
    <n v="2153.87"/>
    <n v="7.3332096304404445E-2"/>
    <n v="1877"/>
    <n v="6.3905595399614254E-2"/>
    <n v="2234.31"/>
    <n v="7.6070810259622867E-2"/>
    <n v="13986.03"/>
    <n v="0.47617771679641285"/>
    <n v="28.745905162253244"/>
    <n v="25.475421728071861"/>
    <n v="77.034682692528563"/>
    <n v="5.2760877706067633E-2"/>
  </r>
  <r>
    <x v="9"/>
    <x v="1"/>
    <x v="17"/>
    <n v="671892.74056554795"/>
    <n v="23764"/>
    <n v="648128.74056554795"/>
    <n v="449084.63058162632"/>
    <n v="295797.84044725634"/>
    <n v="153286.7901343703"/>
    <n v="18912.90999925138"/>
    <n v="430171.7205823753"/>
    <n v="237406.2101888709"/>
    <n v="5094.5799875259409"/>
    <n v="3170"/>
    <n v="211.95354591973123"/>
    <n v="135.45487393979531"/>
    <n v="141.66707589325762"/>
    <n v="0.66838738308680279"/>
    <n v="1.0940500887817726"/>
    <n v="727371.7"/>
    <n v="599261.67999999993"/>
    <n v="21086.68"/>
    <n v="3.5187766386130352E-2"/>
    <n v="22745.079999999998"/>
    <n v="3.7955171770702907E-2"/>
    <n v="15196.23"/>
    <n v="2.5358254177039991E-2"/>
    <n v="27942.17"/>
    <n v="4.6627660223493683E-2"/>
    <n v="128110.01999999999"/>
    <n v="9571.85"/>
    <n v="7.4715857510599101E-2"/>
    <n v="10053.89"/>
    <n v="7.8478560849494838E-2"/>
    <n v="7421.3899999999994"/>
    <n v="5.7929816887078781E-2"/>
    <n v="60013.740000000005"/>
    <n v="0.46845469230275671"/>
    <n v="35.2008344469847"/>
    <n v="30.319814960408291"/>
    <n v="142.53593994169219"/>
    <n v="4.4045795413982285E-2"/>
  </r>
  <r>
    <x v="9"/>
    <x v="2"/>
    <x v="18"/>
    <n v="0"/>
    <n v="0"/>
    <n v="0"/>
    <n v="0"/>
    <n v="0"/>
    <n v="0"/>
    <n v="0"/>
    <n v="0"/>
    <n v="0"/>
    <n v="0"/>
    <n v="0"/>
    <s v="$0.00"/>
    <s v="$0.00"/>
    <s v="$0.00"/>
    <s v="0.00%"/>
    <s v="0.00%"/>
    <n v="-30"/>
    <n v="0"/>
    <n v="0"/>
    <s v="0.00%"/>
    <n v="0"/>
    <s v="0.00%"/>
    <n v="0"/>
    <n v="0"/>
    <n v="0"/>
    <s v="0.00%"/>
    <n v="-30"/>
    <n v="0"/>
    <n v="0"/>
    <n v="0"/>
    <n v="0"/>
    <n v="0"/>
    <n v="0"/>
    <n v="-30"/>
    <n v="1"/>
    <n v="-9.5385102689888868E-3"/>
    <n v="0"/>
    <n v="-0.15045143788375384"/>
    <s v="0.00%"/>
  </r>
  <r>
    <x v="9"/>
    <x v="2"/>
    <x v="19"/>
    <n v="110922.02"/>
    <n v="7058"/>
    <n v="103864.02"/>
    <n v="81676.330273568601"/>
    <n v="54507.970202386401"/>
    <n v="27168.360071182298"/>
    <n v="3053.5899982452402"/>
    <n v="78622.740275323464"/>
    <n v="52939.519489884398"/>
    <n v="133.830001831055"/>
    <n v="818"/>
    <n v="135.60149144254279"/>
    <n v="70.719646098147379"/>
    <n v="99.848814515365163"/>
    <n v="0.73634009075536755"/>
    <n v="1.4905777948187215"/>
    <n v="120087.51999999999"/>
    <n v="95564.2"/>
    <n v="4878.0600000000004"/>
    <n v="5.1044847338229178E-2"/>
    <n v="3768.01"/>
    <n v="3.9429095832958373E-2"/>
    <n v="5332.83"/>
    <n v="5.5803637763932518E-2"/>
    <n v="8629.2199999999993"/>
    <n v="9.0297621912808351E-2"/>
    <n v="24523.32"/>
    <n v="547.64"/>
    <n v="2.2331397217016293E-2"/>
    <n v="1081.1500000000001"/>
    <n v="4.4086608175402033E-2"/>
    <n v="383.66"/>
    <n v="1.5644700635966093E-2"/>
    <n v="14369.06"/>
    <n v="0.58593453088733494"/>
    <n v="33.311840663406819"/>
    <n v="29.004601534624818"/>
    <n v="79.067808268252492"/>
    <n v="5.2785828462694459E-2"/>
  </r>
  <r>
    <x v="9"/>
    <x v="2"/>
    <x v="20"/>
    <n v="0"/>
    <n v="0"/>
    <n v="0"/>
    <n v="25"/>
    <n v="0"/>
    <n v="25"/>
    <n v="0"/>
    <n v="25"/>
    <n v="0"/>
    <n v="-25"/>
    <n v="0"/>
    <s v="$0.00"/>
    <s v="$0.00"/>
    <s v="$0.00"/>
    <s v="0.00%"/>
    <n v="1"/>
    <n v="-108.25"/>
    <n v="-108.25"/>
    <n v="0"/>
    <n v="0"/>
    <n v="0"/>
    <n v="0"/>
    <n v="0"/>
    <n v="0"/>
    <n v="-108.25"/>
    <n v="0"/>
    <n v="0"/>
    <n v="0"/>
    <s v="0.00%"/>
    <n v="0"/>
    <s v="0.00%"/>
    <n v="0"/>
    <n v="0"/>
    <n v="0"/>
    <s v="0.00%"/>
    <s v="0.00"/>
    <s v="0.00"/>
    <s v="0.00"/>
    <n v="0"/>
  </r>
  <r>
    <x v="9"/>
    <x v="2"/>
    <x v="21"/>
    <n v="205176.93001151999"/>
    <n v="12748"/>
    <n v="192428.93001151999"/>
    <n v="128914.74075195901"/>
    <n v="68853.960513330996"/>
    <n v="60060.780238628402"/>
    <n v="6701.25003600121"/>
    <n v="122213.49071595819"/>
    <n v="101971.168680213"/>
    <n v="-76.410002946852998"/>
    <n v="1016"/>
    <n v="201.94579725543306"/>
    <n v="101.65568044710024"/>
    <n v="126.88458735429074"/>
    <n v="0.62831011627243505"/>
    <n v="1.3347847485721982"/>
    <n v="162896.24"/>
    <n v="127626.3"/>
    <n v="4993.66"/>
    <n v="3.9127201838492533E-2"/>
    <n v="5578.75"/>
    <n v="4.3711601762332686E-2"/>
    <n v="5103.41"/>
    <n v="3.9987134313225405E-2"/>
    <n v="12850"/>
    <n v="0.10068457676826797"/>
    <n v="35269.94"/>
    <n v="1866.48"/>
    <n v="5.2919851862520885E-2"/>
    <n v="1900.81"/>
    <n v="5.3893201973124985E-2"/>
    <n v="1128.94"/>
    <n v="3.2008560264066226E-2"/>
    <n v="21200.37"/>
    <n v="0.6010889159437186"/>
    <n v="26.480837137423233"/>
    <n v="22.160427143712372"/>
    <n v="89.910650019985439"/>
    <n v="6.4882931385261453E-2"/>
  </r>
  <r>
    <x v="9"/>
    <x v="2"/>
    <x v="22"/>
    <n v="0"/>
    <n v="0"/>
    <n v="0"/>
    <n v="0"/>
    <n v="0"/>
    <n v="0"/>
    <n v="0"/>
    <n v="0"/>
    <n v="0"/>
    <n v="0"/>
    <n v="0"/>
    <s v="$0.00"/>
    <s v="$0.00"/>
    <s v="$0.00"/>
    <s v="0.00%"/>
    <s v="0.00%"/>
    <n v="0"/>
    <n v="0"/>
    <n v="0"/>
    <s v="0.00%"/>
    <n v="0"/>
    <s v="0.00%"/>
    <n v="0"/>
    <n v="0"/>
    <n v="0"/>
    <s v="0.00%"/>
    <n v="0"/>
    <n v="0"/>
    <s v="0.00%"/>
    <n v="0"/>
    <s v="0.00%"/>
    <n v="0"/>
    <n v="0"/>
    <n v="0"/>
    <s v="0.00%"/>
    <n v="0"/>
    <n v="0"/>
    <n v="0"/>
    <s v="0.00%"/>
  </r>
  <r>
    <x v="9"/>
    <x v="2"/>
    <x v="23"/>
    <n v="145319.580003051"/>
    <n v="7300"/>
    <n v="138019.580003051"/>
    <n v="84599.040445575505"/>
    <n v="50464.930335054203"/>
    <n v="34134.110110521302"/>
    <n v="6025.0600119829196"/>
    <n v="78573.980433592587"/>
    <n v="73004.999077567802"/>
    <n v="-478.56000137329102"/>
    <n v="718"/>
    <n v="202.39495822151949"/>
    <n v="101.38320463350486"/>
    <n v="117.82596162336421"/>
    <n v="0.58215858072118942"/>
    <n v="1.2670581404524064"/>
    <n v="135475.00999999998"/>
    <n v="107831.20999999999"/>
    <n v="5193.51"/>
    <n v="4.8163328594754716E-2"/>
    <n v="6107.75"/>
    <n v="5.6641764476166041E-2"/>
    <n v="3593.13"/>
    <n v="3.332179987593574E-2"/>
    <n v="11505.46"/>
    <n v="0.10669879341982716"/>
    <n v="27643.799999999996"/>
    <n v="505.34"/>
    <n v="1.8280410073868283E-2"/>
    <n v="386.22"/>
    <n v="1.3971306405052853E-2"/>
    <n v="282.73"/>
    <n v="1.0227609807624135E-2"/>
    <n v="16846.48"/>
    <n v="0.6094125988467578"/>
    <n v="28.776814990819314"/>
    <n v="24.30038648520075"/>
    <n v="102.24979450928817"/>
    <n v="8.2769611741812035E-2"/>
  </r>
  <r>
    <x v="9"/>
    <x v="2"/>
    <x v="24"/>
    <n v="108416"/>
    <n v="6273"/>
    <n v="102143"/>
    <n v="67312.930411109701"/>
    <n v="35463.750284194903"/>
    <n v="31849.180126914802"/>
    <n v="3426.7500157356299"/>
    <n v="63886.180395374075"/>
    <n v="51816.019407272302"/>
    <n v="-93.200000762938998"/>
    <n v="535"/>
    <n v="202.64672897196263"/>
    <n v="105.96856185699184"/>
    <n v="125.8185615160929"/>
    <n v="0.62087635045666412"/>
    <n v="1.2637026675337386"/>
    <n v="94882.31"/>
    <n v="78655.839999999997"/>
    <n v="5750.7"/>
    <n v="7.3112180862857742E-2"/>
    <n v="3308.36"/>
    <n v="4.2061212492295552E-2"/>
    <n v="4243.4799999999996"/>
    <n v="5.3949967351438873E-2"/>
    <n v="5342.09"/>
    <n v="6.7917270987125689E-2"/>
    <n v="16226.47"/>
    <n v="434.65"/>
    <n v="2.6786479129471782E-2"/>
    <n v="1111.45"/>
    <n v="6.8496105437596724E-2"/>
    <n v="429.02"/>
    <n v="2.6439515187221867E-2"/>
    <n v="9608.3700000000008"/>
    <n v="0.59214172891577777"/>
    <n v="27.465711955144407"/>
    <n v="24.732589580524564"/>
    <n v="59.151132083113936"/>
    <n v="6.0443777891146938E-2"/>
  </r>
  <r>
    <x v="9"/>
    <x v="2"/>
    <x v="25"/>
    <n v="84703.550003051801"/>
    <n v="4286"/>
    <n v="80417.550003051801"/>
    <n v="51216.860201835603"/>
    <n v="29316.390151977499"/>
    <n v="21900.470049858101"/>
    <n v="3096.2400102615402"/>
    <n v="48120.62019157406"/>
    <n v="42328.319416642204"/>
    <n v="0"/>
    <n v="430"/>
    <n v="196.9850000070972"/>
    <n v="98.547047875371163"/>
    <n v="119.10897721357117"/>
    <n v="0.60466013762103599"/>
    <n v="1.3039250614789666"/>
    <n v="77094.909999999989"/>
    <n v="63990.119999999995"/>
    <n v="2337.59"/>
    <n v="3.6530483143335256E-2"/>
    <n v="3262.92"/>
    <n v="5.0990996735120989E-2"/>
    <n v="2514.42"/>
    <n v="3.929387849249228E-2"/>
    <n v="5219.4399999999996"/>
    <n v="8.1566341804015993E-2"/>
    <n v="13104.789999999999"/>
    <n v="695.17"/>
    <n v="5.3047015633215032E-2"/>
    <n v="359.36"/>
    <n v="2.7422034233284168E-2"/>
    <n v="1035.07"/>
    <n v="7.8984096654734645E-2"/>
    <n v="6293.8"/>
    <n v="0.48026713896216577"/>
    <n v="22.922068179894882"/>
    <n v="20.308779905759948"/>
    <n v="66.589380081300803"/>
    <n v="7.3067213261479053E-2"/>
  </r>
  <r>
    <x v="9"/>
    <x v="2"/>
    <x v="26"/>
    <n v="117681.51"/>
    <n v="6454"/>
    <n v="111227.51"/>
    <n v="68481.290465416401"/>
    <n v="40623.600350560599"/>
    <n v="27857.690114855799"/>
    <n v="4672.3700236082104"/>
    <n v="63808.920441808194"/>
    <n v="58138.899242592997"/>
    <n v="-69"/>
    <n v="556"/>
    <n v="211.65739208633093"/>
    <n v="107.21512726152338"/>
    <n v="123.16778860686404"/>
    <n v="0.58192056224819344"/>
    <n v="1.2464913885001419"/>
    <n v="94302.82"/>
    <n v="79430.680000000008"/>
    <n v="1739.06"/>
    <n v="2.1894059071381484E-2"/>
    <n v="2530.52"/>
    <n v="3.1858219015624689E-2"/>
    <n v="3074.8"/>
    <n v="3.871048315336089E-2"/>
    <n v="3807.28"/>
    <n v="4.7932108852649882E-2"/>
    <n v="14872.140000000001"/>
    <n v="466.86"/>
    <n v="3.1391581843635143E-2"/>
    <n v="-277.07"/>
    <n v="0"/>
    <n v="499.92"/>
    <n v="3.3614530255901304E-2"/>
    <n v="8655.0400000000009"/>
    <n v="0.5819633220235958"/>
    <n v="25.403791471995341"/>
    <n v="22.938209029709892"/>
    <n v="59.644962345706524"/>
    <n v="7.8380200840784162E-2"/>
  </r>
  <r>
    <x v="9"/>
    <x v="2"/>
    <x v="27"/>
    <n v="134562.5"/>
    <n v="8079"/>
    <n v="126483.5"/>
    <n v="75740.120600966693"/>
    <n v="41016.030447749399"/>
    <n v="34724.090153217301"/>
    <n v="4343.74001288414"/>
    <n v="71396.380588082568"/>
    <n v="54399.669302435599"/>
    <n v="22.830000042915"/>
    <n v="762"/>
    <n v="176.59120734908137"/>
    <n v="105.17060458992322"/>
    <n v="99.396483728302769"/>
    <n v="0.56286202025799692"/>
    <n v="0.99925932911249771"/>
    <n v="123451.68"/>
    <n v="98824.12999999999"/>
    <n v="1479.77"/>
    <n v="1.4973772093920788E-2"/>
    <n v="3449.84"/>
    <n v="3.4908883083514121E-2"/>
    <n v="3271.8"/>
    <n v="3.3107298794332926E-2"/>
    <n v="6826.4"/>
    <n v="6.9076246863999713E-2"/>
    <n v="24627.55"/>
    <n v="1114.07"/>
    <n v="4.5236736906432026E-2"/>
    <n v="1239.9000000000001"/>
    <n v="5.0346055535365884E-2"/>
    <n v="1898.65"/>
    <n v="7.709455467555644E-2"/>
    <n v="12725.08"/>
    <n v="0.51670101167188776"/>
    <n v="30.127486300299271"/>
    <n v="26.129597658042311"/>
    <n v="78.042304848420827"/>
    <n v="5.4201896369817225E-2"/>
  </r>
  <r>
    <x v="9"/>
    <x v="3"/>
    <x v="28"/>
    <n v="122436.630004406"/>
    <n v="6774"/>
    <n v="115662.630004406"/>
    <n v="70857.329862117796"/>
    <n v="34527.339844703703"/>
    <n v="36329.9900174141"/>
    <n v="2643.8000087738001"/>
    <n v="68213.529853343993"/>
    <n v="50440.160167465001"/>
    <n v="-149.86000061035199"/>
    <n v="553"/>
    <n v="221.40439422134901"/>
    <n v="130.46352592685597"/>
    <n v="128.13260372896528"/>
    <n v="0.57872656132048006"/>
    <n v="1.0194928161129941"/>
    <n v="120348.98999999999"/>
    <n v="96677.999999999985"/>
    <n v="4980.6000000000004"/>
    <n v="5.151740830385404E-2"/>
    <n v="9076.14"/>
    <n v="9.3880096816235339E-2"/>
    <n v="7554.17"/>
    <n v="7.813742526738246E-2"/>
    <n v="3882.03"/>
    <n v="4.0154223297958182E-2"/>
    <n v="23670.989999999998"/>
    <n v="1937.42"/>
    <n v="8.1847865256163777E-2"/>
    <n v="400.69"/>
    <n v="1.6927471136610681E-2"/>
    <n v="426.89"/>
    <n v="1.8034311196954585E-2"/>
    <n v="13506.15"/>
    <n v="0.57057816339747514"/>
    <n v="31.864181927151172"/>
    <n v="27.249590895251011"/>
    <n v="103.33668509895226"/>
    <n v="3.6644968839395234E-2"/>
  </r>
  <r>
    <x v="9"/>
    <x v="3"/>
    <x v="29"/>
    <n v="165719.79000509001"/>
    <n v="10605"/>
    <n v="155114.79000509001"/>
    <n v="102832.86015897999"/>
    <n v="50633.810065567501"/>
    <n v="52199.050093412399"/>
    <n v="4172.5000181198102"/>
    <n v="98660.360140860081"/>
    <n v="64043.370095977603"/>
    <n v="-115.659996032715"/>
    <n v="724"/>
    <n v="228.89473757609116"/>
    <n v="140.59679544909545"/>
    <n v="142.03433723616007"/>
    <n v="0.62052251065380559"/>
    <n v="1.0534040433075813"/>
    <n v="159377.12"/>
    <n v="120244.53"/>
    <n v="6352.08"/>
    <n v="5.2826353098972566E-2"/>
    <n v="8528.9599999999991"/>
    <n v="7.0930128796711164E-2"/>
    <n v="10922.68"/>
    <n v="9.0837229768372829E-2"/>
    <n v="4254.84"/>
    <n v="3.5384894431372473E-2"/>
    <n v="39132.589999999997"/>
    <n v="1061.73"/>
    <n v="2.7131605651453179E-2"/>
    <n v="1318.85"/>
    <n v="3.3702088208319457E-2"/>
    <n v="2595.44"/>
    <n v="6.6324258118361193E-2"/>
    <n v="24254.86"/>
    <n v="0.61981228433896152"/>
    <n v="34.363838607869937"/>
    <n v="27.631706080017786"/>
    <n v="136.71039127396941"/>
    <n v="4.0990419117164632E-2"/>
  </r>
  <r>
    <x v="9"/>
    <x v="3"/>
    <x v="30"/>
    <n v="173597.720004367"/>
    <n v="5996"/>
    <n v="167601.720004367"/>
    <n v="99982.2799363136"/>
    <n v="59258.239898204803"/>
    <n v="40724.040038108797"/>
    <n v="4611.7199863195401"/>
    <n v="95370.559949994058"/>
    <n v="71934.410100936904"/>
    <n v="0"/>
    <n v="722"/>
    <n v="240.44005540771053"/>
    <n v="140.8079084535043"/>
    <n v="138.47961210015734"/>
    <n v="0.57594235646527192"/>
    <n v="1.0301972386202645"/>
    <n v="199027.5"/>
    <n v="160427.29"/>
    <n v="10430.799999999999"/>
    <n v="6.5018863062512616E-2"/>
    <n v="16108.76"/>
    <n v="0.10041159456100018"/>
    <n v="18649.89"/>
    <n v="0.11625135598812396"/>
    <n v="2070.48"/>
    <n v="1.290603363056248E-2"/>
    <n v="38600.21"/>
    <n v="2087.4899999999998"/>
    <n v="5.4079757597173692E-2"/>
    <n v="1721.95"/>
    <n v="4.4609860930808411E-2"/>
    <n v="1686.15"/>
    <n v="4.3682404836657626E-2"/>
    <n v="23221.439999999999"/>
    <n v="0.60158843695409947"/>
    <n v="38.154074642044812"/>
    <n v="32.281655138002158"/>
    <n v="156.40047217072373"/>
    <n v="4.5362677948418258E-2"/>
  </r>
  <r>
    <x v="9"/>
    <x v="3"/>
    <x v="31"/>
    <n v="215211.17000993501"/>
    <n v="11810"/>
    <n v="203401.17000993501"/>
    <n v="135545.529862175"/>
    <n v="78917.859783897205"/>
    <n v="56627.670078277602"/>
    <n v="6623.3900330066699"/>
    <n v="128922.13982916815"/>
    <n v="74637.030222168207"/>
    <n v="145.27000045776401"/>
    <n v="1507"/>
    <n v="142.80767751156935"/>
    <n v="93.184386056608517"/>
    <n v="89.943948150082832"/>
    <n v="0.62982571887842764"/>
    <n v="1.0130043262134525"/>
    <n v="237884.74000000005"/>
    <n v="174991.44000000003"/>
    <n v="10031.17"/>
    <n v="5.7323775380098585E-2"/>
    <n v="11653.1"/>
    <n v="6.659240017683149E-2"/>
    <n v="11435.28"/>
    <n v="6.5347653576654938E-2"/>
    <n v="7780.47"/>
    <n v="4.4462003398566229E-2"/>
    <n v="62893.3"/>
    <n v="3293.66"/>
    <n v="5.2369012279527387E-2"/>
    <n v="3975.57"/>
    <n v="6.3211343656637511E-2"/>
    <n v="2952.85"/>
    <n v="4.695015208297227E-2"/>
    <n v="35109.83"/>
    <n v="0.55824435989207122"/>
    <n v="34.779882632156777"/>
    <n v="27.631002489483944"/>
    <n v="124.15601763505956"/>
    <n v="4.7165444278219532E-2"/>
  </r>
  <r>
    <x v="9"/>
    <x v="3"/>
    <x v="32"/>
    <n v="54115.720002898903"/>
    <n v="2360"/>
    <n v="51755.720002898903"/>
    <n v="33896.249826013998"/>
    <n v="20517.879837691798"/>
    <n v="13378.3699883223"/>
    <n v="1759.8199949264499"/>
    <n v="32136.429831087651"/>
    <n v="29043.350090026899"/>
    <n v="31"/>
    <n v="221"/>
    <n v="244.86751132533439"/>
    <n v="113.30936612159277"/>
    <n v="153.37669604531268"/>
    <n v="0.62636605082956165"/>
    <n v="1.4559275454374569"/>
    <n v="47074.770000000004"/>
    <n v="44332.01"/>
    <n v="2640.89"/>
    <n v="5.9570725532183171E-2"/>
    <n v="4196.4799999999996"/>
    <n v="9.4660269182471071E-2"/>
    <n v="4114.25"/>
    <n v="9.2805401785301403E-2"/>
    <n v="17.63"/>
    <n v="3.9768104356197699E-4"/>
    <n v="2742.76"/>
    <n v="237.79"/>
    <n v="8.66973413641733E-2"/>
    <n v="-138.59"/>
    <n v="0"/>
    <n v="-14.89"/>
    <n v="0"/>
    <n v="524.98"/>
    <n v="0.19140573728652888"/>
    <n v="27.096957212240646"/>
    <n v="27.144183386771815"/>
    <n v="26.355797565663039"/>
    <n v="7.0276506479058504E-2"/>
  </r>
  <r>
    <x v="9"/>
    <x v="3"/>
    <x v="33"/>
    <n v="101903.350000152"/>
    <n v="6208.0099999997801"/>
    <n v="95695.340000152602"/>
    <n v="59852.989865595497"/>
    <n v="30856.5698729549"/>
    <n v="28996.4199926406"/>
    <n v="3447.4000043869"/>
    <n v="56405.589861208602"/>
    <n v="46733.380014039598"/>
    <n v="267.11000061035202"/>
    <n v="432"/>
    <n v="235.88738425961199"/>
    <n v="127.08995367014451"/>
    <n v="138.54858765184144"/>
    <n v="0.58735056173821576"/>
    <n v="1.1631999769812946"/>
    <n v="114002.23999999999"/>
    <n v="92792.79"/>
    <n v="8548.4500000000007"/>
    <n v="9.2124075588200349E-2"/>
    <n v="11312.2"/>
    <n v="0.12190817842636267"/>
    <n v="9223.75"/>
    <n v="9.9401580661600972E-2"/>
    <n v="2128.71"/>
    <n v="2.2940467680732525E-2"/>
    <n v="21209.45"/>
    <n v="1347.13"/>
    <n v="6.3515555566033069E-2"/>
    <n v="1240.1099999999999"/>
    <n v="5.8469691576160616E-2"/>
    <n v="736.44"/>
    <n v="3.4722258238662485E-2"/>
    <n v="12665.73"/>
    <n v="0.59717390125627956"/>
    <n v="33.852200828908146"/>
    <n v="29.396419481994588"/>
    <n v="100.49749894835384"/>
    <n v="6.2790900242669312E-2"/>
  </r>
  <r>
    <x v="9"/>
    <x v="3"/>
    <x v="34"/>
    <n v="100716.910001526"/>
    <n v="3535"/>
    <n v="97181.910001525699"/>
    <n v="55156.149947881699"/>
    <n v="33230.939922571197"/>
    <n v="21925.210025310502"/>
    <n v="1570.0799964666401"/>
    <n v="53586.069951415062"/>
    <n v="42684.860148668296"/>
    <n v="0"/>
    <n v="506"/>
    <n v="199.04527668285712"/>
    <n v="114.68784555900672"/>
    <n v="109.00424890885711"/>
    <n v="0.54763544619315829"/>
    <n v="0.97687257614584866"/>
    <n v="99742.439999999988"/>
    <n v="85449.37999999999"/>
    <n v="5792.55"/>
    <n v="6.7789257218718271E-2"/>
    <n v="7332.28"/>
    <n v="8.5808463443503055E-2"/>
    <n v="5852.78"/>
    <n v="6.849411897429801E-2"/>
    <n v="707.68"/>
    <n v="8.2818623142730825E-3"/>
    <n v="14293.06"/>
    <n v="1025.22"/>
    <n v="7.1728517196457592E-2"/>
    <n v="1154.6400000000001"/>
    <n v="8.0783261247066765E-2"/>
    <n v="902.16"/>
    <n v="6.3118744341659525E-2"/>
    <n v="5344.65"/>
    <n v="0.37393322353645753"/>
    <n v="33.50466928605082"/>
    <n v="30.051078411079423"/>
    <n v="107.06411985018725"/>
    <n v="2.7055394397537787E-2"/>
  </r>
  <r>
    <x v="9"/>
    <x v="3"/>
    <x v="35"/>
    <n v="98973.190000781804"/>
    <n v="5445"/>
    <n v="93528.190000781804"/>
    <n v="61265.789903430297"/>
    <n v="34192.839936999597"/>
    <n v="27072.9499664307"/>
    <n v="2708.3600044250502"/>
    <n v="58557.429899005248"/>
    <n v="45889.590164871901"/>
    <n v="20"/>
    <n v="509"/>
    <n v="194.44634577756739"/>
    <n v="104.25068730041238"/>
    <n v="120.36500963345834"/>
    <n v="0.61901399664844947"/>
    <n v="1.2166715938293191"/>
    <n v="93316.03"/>
    <n v="80232.259999999995"/>
    <n v="5312.1"/>
    <n v="6.6209028637607872E-2"/>
    <n v="9059.7199999999993"/>
    <n v="0.11291866887458984"/>
    <n v="5446.79"/>
    <n v="6.7887779803286114E-2"/>
    <n v="1560.97"/>
    <n v="1.9455640411973937E-2"/>
    <n v="13083.77"/>
    <n v="1968.43"/>
    <n v="0.15044822707828095"/>
    <n v="733.42"/>
    <n v="5.605570871392572E-2"/>
    <n v="896.84"/>
    <n v="6.8545992477703294E-2"/>
    <n v="3978.9"/>
    <n v="0.30410959532306053"/>
    <n v="29.807068849844654"/>
    <n v="27.280285734130402"/>
    <n v="68.995095798910171"/>
    <n v="5.1039884455637945E-2"/>
  </r>
  <r>
    <x v="9"/>
    <x v="3"/>
    <x v="36"/>
    <n v="91556.930002689405"/>
    <n v="4715"/>
    <n v="86841.930002689405"/>
    <n v="52352.479995727503"/>
    <n v="28277.720002174399"/>
    <n v="24074.759993553202"/>
    <n v="2348.1700065136001"/>
    <n v="50004.309989213994"/>
    <n v="40244.810157775901"/>
    <n v="3.9899997711180002"/>
    <n v="426"/>
    <n v="214.92237089833193"/>
    <n v="120.44161935479434"/>
    <n v="122.89314552987699"/>
    <n v="0.57180248392109467"/>
    <n v="1.0692917267146562"/>
    <n v="73103.95"/>
    <n v="65379.14"/>
    <n v="6058.96"/>
    <n v="9.2674207706005318E-2"/>
    <n v="5195.0200000000004"/>
    <n v="7.9459901124425927E-2"/>
    <n v="1693.3"/>
    <n v="2.5899698282969154E-2"/>
    <n v="0"/>
    <n v="0"/>
    <n v="7724.81"/>
    <n v="720.64"/>
    <n v="9.3289025878953644E-2"/>
    <n v="859.49"/>
    <n v="0.11126357800386029"/>
    <n v="-124.69"/>
    <n v="0"/>
    <n v="0"/>
    <n v="0"/>
    <n v="27.587791230624251"/>
    <n v="26.192290135775583"/>
    <n v="50.244482185444824"/>
    <n v="4.5766041631235051E-2"/>
  </r>
  <r>
    <x v="9"/>
    <x v="4"/>
    <x v="37"/>
    <n v="81153.420003185005"/>
    <n v="5636"/>
    <n v="75517.420003185005"/>
    <n v="47598.489949285999"/>
    <n v="24653.009953081601"/>
    <n v="22945.479996204402"/>
    <n v="1497.9599975347501"/>
    <n v="46100.529951751247"/>
    <n v="35538.520070552797"/>
    <n v="28.579999923706001"/>
    <n v="351"/>
    <n v="231.20632479539887"/>
    <n v="129.8755553638419"/>
    <n v="135.60823347374929"/>
    <n v="0.5865247570270965"/>
    <n v="1.0796157992557092"/>
    <n v="67269.87000000001"/>
    <n v="54836.880000000012"/>
    <n v="3630.66"/>
    <n v="6.6208361963700321E-2"/>
    <n v="4394.26"/>
    <n v="8.0133297153302654E-2"/>
    <n v="2761.22"/>
    <n v="5.0353338847870251E-2"/>
    <n v="1184.25"/>
    <n v="2.1595867598594227E-2"/>
    <n v="12432.989999999998"/>
    <n v="494.2"/>
    <n v="3.9749086905080763E-2"/>
    <n v="1212.21"/>
    <n v="9.7499475186580239E-2"/>
    <n v="846.91"/>
    <n v="6.8117966796402155E-2"/>
    <n v="4992.6899999999996"/>
    <n v="0.40156792533413127"/>
    <n v="27.911282950057466"/>
    <n v="24.518712652227276"/>
    <n v="71.618605990783408"/>
    <n v="3.2859857951814037E-2"/>
  </r>
  <r>
    <x v="9"/>
    <x v="4"/>
    <x v="38"/>
    <n v="211639.34000873601"/>
    <n v="10710"/>
    <n v="200929.34000873601"/>
    <n v="124759.839870237"/>
    <n v="68899.179873250396"/>
    <n v="55860.659996986396"/>
    <n v="4874.4499998092697"/>
    <n v="119885.38987042752"/>
    <n v="88683.710190083802"/>
    <n v="76.040000915527003"/>
    <n v="964"/>
    <n v="219.54288382648963"/>
    <n v="127.46845416777664"/>
    <n v="129.41892102721658"/>
    <n v="0.58949267118810222"/>
    <n v="1.0572407275033218"/>
    <n v="199890.64999999997"/>
    <n v="168921.69999999998"/>
    <n v="6862.31"/>
    <n v="4.0624206363066448E-2"/>
    <n v="12288.82"/>
    <n v="7.2748616666775207E-2"/>
    <n v="8069.4"/>
    <n v="4.7770061513707239E-2"/>
    <n v="13265.55"/>
    <n v="7.8530763069516826E-2"/>
    <n v="30968.949999999997"/>
    <n v="1637.7"/>
    <n v="5.288199955116335E-2"/>
    <n v="3527.32"/>
    <n v="0.11389859843488399"/>
    <n v="1998.14"/>
    <n v="6.452075385184193E-2"/>
    <n v="15534.75"/>
    <n v="0.50162340021214802"/>
    <n v="32.914162029283062"/>
    <n v="29.469537952964032"/>
    <n v="90.815076080935768"/>
    <n v="3.9668508065817794E-2"/>
  </r>
  <r>
    <x v="9"/>
    <x v="4"/>
    <x v="39"/>
    <n v="0"/>
    <n v="0"/>
    <n v="0"/>
    <n v="0"/>
    <n v="0"/>
    <n v="0"/>
    <n v="0"/>
    <n v="0"/>
    <n v="0"/>
    <n v="0"/>
    <n v="0"/>
    <s v="$0.00"/>
    <s v="$0.00"/>
    <s v="$0.00"/>
    <s v="0.00%"/>
    <s v="0.00%"/>
    <n v="0"/>
    <n v="0"/>
    <n v="0"/>
    <s v="0.00%"/>
    <n v="0"/>
    <s v="0.00%"/>
    <n v="0"/>
    <n v="0"/>
    <n v="0"/>
    <s v="0.00%"/>
    <n v="0"/>
    <n v="0"/>
    <s v="0.00%"/>
    <n v="0"/>
    <s v="0.00%"/>
    <n v="0"/>
    <n v="0"/>
    <n v="0"/>
    <s v="0.00%"/>
    <n v="0"/>
    <n v="0"/>
    <n v="0"/>
    <s v="0.00%"/>
  </r>
  <r>
    <x v="9"/>
    <x v="4"/>
    <x v="40"/>
    <n v="237652.540010775"/>
    <n v="12959"/>
    <n v="224693.540010775"/>
    <n v="146100.41988882399"/>
    <n v="90486.179860830307"/>
    <n v="55614.240027993903"/>
    <n v="5384.5900166034698"/>
    <n v="140715.82987222075"/>
    <n v="91051.470269918398"/>
    <n v="-298.15999412536598"/>
    <n v="1149"/>
    <n v="206.83423847761097"/>
    <n v="127.84963423410092"/>
    <n v="127.15441243587836"/>
    <n v="0.61476481539898598"/>
    <n v="1.0324049877777428"/>
    <n v="225732.16000000003"/>
    <n v="181703.48"/>
    <n v="5881.01"/>
    <n v="3.2365973397977844E-2"/>
    <n v="8900.2999999999993"/>
    <n v="4.8982551132207258E-2"/>
    <n v="8109.24"/>
    <n v="4.4628974634938194E-2"/>
    <n v="5891.19"/>
    <n v="3.2421998742126451E-2"/>
    <n v="44028.680000000008"/>
    <n v="2423.0300000000002"/>
    <n v="5.5032992131492466E-2"/>
    <n v="2473.42"/>
    <n v="5.6177473410513323E-2"/>
    <n v="2031.27"/>
    <n v="4.6135155539525595E-2"/>
    <n v="26827.33"/>
    <n v="0.60931488293539571"/>
    <n v="32.372598755354694"/>
    <n v="27.940219427899397"/>
    <n v="93.748963755086606"/>
    <n v="3.665499149531079E-2"/>
  </r>
  <r>
    <x v="9"/>
    <x v="4"/>
    <x v="41"/>
    <n v="0"/>
    <n v="0"/>
    <n v="0"/>
    <n v="0"/>
    <n v="0"/>
    <n v="0"/>
    <n v="0"/>
    <n v="0"/>
    <n v="0"/>
    <n v="0"/>
    <n v="0"/>
    <s v="$0.00"/>
    <s v="$0.00"/>
    <s v="$0.00"/>
    <s v="0.00%"/>
    <s v="0.00%"/>
    <n v="-75"/>
    <n v="-25"/>
    <n v="0"/>
    <n v="0"/>
    <n v="0"/>
    <n v="0"/>
    <n v="0"/>
    <n v="0"/>
    <n v="-25"/>
    <n v="0"/>
    <n v="-50"/>
    <n v="0"/>
    <n v="0"/>
    <n v="0"/>
    <n v="0"/>
    <n v="0"/>
    <n v="0"/>
    <n v="-50"/>
    <n v="1"/>
    <n v="0"/>
    <n v="0"/>
    <n v="0"/>
    <s v="0.00%"/>
  </r>
  <r>
    <x v="9"/>
    <x v="4"/>
    <x v="42"/>
    <n v="235267.59000911401"/>
    <n v="8378"/>
    <n v="226889.59000911401"/>
    <n v="148786.13007133501"/>
    <n v="97065.679995827406"/>
    <n v="51720.4500755072"/>
    <n v="4004.7000029087098"/>
    <n v="144781.43006842589"/>
    <n v="102076.400052629"/>
    <n v="-182.89000391960101"/>
    <n v="1093"/>
    <n v="215.24939616570359"/>
    <n v="122.02569072315151"/>
    <n v="136.12637700945527"/>
    <n v="0.63241235252833072"/>
    <n v="1.1500876801003301"/>
    <n v="279425.05"/>
    <n v="215838.01"/>
    <n v="6913.84"/>
    <n v="3.2032541441611696E-2"/>
    <n v="17184.330000000002"/>
    <n v="7.9616792241551895E-2"/>
    <n v="10905.35"/>
    <n v="5.052562335985214E-2"/>
    <n v="21188.58"/>
    <n v="9.81688999078522E-2"/>
    <n v="63587.040000000001"/>
    <n v="4602.75"/>
    <n v="7.2385033176571828E-2"/>
    <n v="3794"/>
    <n v="5.9666246455252515E-2"/>
    <n v="4318.68"/>
    <n v="6.7917613400466509E-2"/>
    <n v="42075.83"/>
    <n v="0.66170449198453019"/>
    <n v="37.657962719357251"/>
    <n v="30.638242510414685"/>
    <n v="169.40587221714586"/>
    <n v="3.002607406249853E-2"/>
  </r>
  <r>
    <x v="9"/>
    <x v="4"/>
    <x v="43"/>
    <n v="0"/>
    <n v="0"/>
    <n v="0"/>
    <n v="0"/>
    <n v="0"/>
    <n v="0"/>
    <n v="0"/>
    <n v="0"/>
    <n v="0"/>
    <n v="0"/>
    <n v="0"/>
    <s v="$0.00"/>
    <s v="$0.00"/>
    <s v="$0.00"/>
    <s v="0.00%"/>
    <s v="0.00%"/>
    <n v="0"/>
    <n v="0"/>
    <n v="0"/>
    <s v="0.00%"/>
    <n v="0"/>
    <s v="0.00%"/>
    <n v="0"/>
    <n v="0"/>
    <n v="0"/>
    <s v="0.00%"/>
    <n v="0"/>
    <n v="0"/>
    <s v="0.00%"/>
    <n v="0"/>
    <s v="0.00%"/>
    <n v="0"/>
    <n v="0"/>
    <n v="0"/>
    <s v="0.00%"/>
    <n v="0"/>
    <n v="0"/>
    <n v="0"/>
    <s v="0.00%"/>
  </r>
  <r>
    <x v="9"/>
    <x v="4"/>
    <x v="44"/>
    <n v="153815.170002937"/>
    <n v="11098"/>
    <n v="142717.170002937"/>
    <n v="101322.849854246"/>
    <n v="55065.189863994703"/>
    <n v="46257.659990251101"/>
    <n v="4459.3899862766302"/>
    <n v="96863.459867969184"/>
    <n v="65348.8100616187"/>
    <n v="-583.059995651245"/>
    <n v="855"/>
    <n v="179.90078362916609"/>
    <n v="104.15136834733279"/>
    <n v="118.50625713946879"/>
    <n v="0.65873118920787277"/>
    <n v="1.1978107811677849"/>
    <n v="149250.16999999998"/>
    <n v="118161.37"/>
    <n v="4274.7700000000004"/>
    <n v="3.6177390292614249E-2"/>
    <n v="4877.7700000000004"/>
    <n v="4.1280580954672415E-2"/>
    <n v="5872.51"/>
    <n v="4.9699068316489563E-2"/>
    <n v="9696.64"/>
    <n v="8.2062691046997843E-2"/>
    <n v="31088.799999999999"/>
    <n v="923.16"/>
    <n v="2.9694295051594141E-2"/>
    <n v="1781.41"/>
    <n v="5.7300699930521608E-2"/>
    <n v="2864.89"/>
    <n v="9.2151836030982218E-2"/>
    <n v="19013.02"/>
    <n v="0.61157136975373771"/>
    <n v="30.378257897973757"/>
    <n v="25.939930573938298"/>
    <n v="86.872578241430702"/>
    <n v="5.0077698309916568E-2"/>
  </r>
  <r>
    <x v="9"/>
    <x v="4"/>
    <x v="45"/>
    <n v="75898.250002173707"/>
    <n v="4117"/>
    <n v="71781.250002173707"/>
    <n v="44337.799941420599"/>
    <n v="23722.8199414015"/>
    <n v="20614.980000019099"/>
    <n v="1854.2300128936799"/>
    <n v="42483.569928526922"/>
    <n v="27729.540079236001"/>
    <n v="0"/>
    <n v="438"/>
    <n v="173.28367580404955"/>
    <n v="109.97422356835092"/>
    <n v="101.22785374753562"/>
    <n v="0.58417420612663373"/>
    <n v="0.95732047574618762"/>
    <n v="79010.569999999992"/>
    <n v="63342.599999999991"/>
    <n v="3826.17"/>
    <n v="6.0404372412878549E-2"/>
    <n v="4592.5200000000004"/>
    <n v="7.2502865370224795E-2"/>
    <n v="4052.03"/>
    <n v="6.3970061222621125E-2"/>
    <n v="750"/>
    <n v="1.1840372829659662E-2"/>
    <n v="15667.970000000001"/>
    <n v="374.07"/>
    <n v="2.3874822328610532E-2"/>
    <n v="781.7"/>
    <n v="4.9891594124829186E-2"/>
    <n v="332.63"/>
    <n v="2.1229935977666536E-2"/>
    <n v="8159.71"/>
    <n v="0.52078922795997185"/>
    <n v="34.883375358501816"/>
    <n v="29.679587006431955"/>
    <n v="119.8060577740017"/>
    <n v="3.84944918778218E-2"/>
  </r>
  <r>
    <x v="9"/>
    <x v="4"/>
    <x v="46"/>
    <n v="0"/>
    <n v="0"/>
    <n v="0"/>
    <n v="30"/>
    <n v="0"/>
    <n v="30"/>
    <n v="0"/>
    <n v="30"/>
    <n v="0"/>
    <n v="0"/>
    <n v="0"/>
    <s v="$0.00"/>
    <s v="$0.00"/>
    <s v="$0.00"/>
    <s v="0.00%"/>
    <s v="0.00%"/>
    <n v="-8.66"/>
    <n v="0"/>
    <n v="0"/>
    <s v="0.00%"/>
    <n v="0"/>
    <s v="0.00%"/>
    <n v="0"/>
    <n v="0"/>
    <n v="0"/>
    <s v="0.00%"/>
    <n v="-8.66"/>
    <n v="0"/>
    <n v="0"/>
    <n v="0"/>
    <n v="0"/>
    <n v="0"/>
    <n v="0"/>
    <n v="-8.66"/>
    <n v="1"/>
    <n v="0"/>
    <n v="0"/>
    <n v="0"/>
    <s v="0.00%"/>
  </r>
  <r>
    <x v="9"/>
    <x v="4"/>
    <x v="47"/>
    <n v="164362.550001789"/>
    <n v="10074"/>
    <n v="154288.550001789"/>
    <n v="104327.310108611"/>
    <n v="61533.960071504102"/>
    <n v="42793.3500371072"/>
    <n v="3415.4900047779101"/>
    <n v="100911.82010383339"/>
    <n v="64053.190027246303"/>
    <n v="-1107.37999343872"/>
    <n v="838"/>
    <n v="196.1366945128747"/>
    <n v="121.02236273028808"/>
    <n v="124.49559678831898"/>
    <n v="0.63473893601356124"/>
    <n v="1.0645508108088728"/>
    <n v="198877.23999999996"/>
    <n v="154864.43999999997"/>
    <n v="4985.04"/>
    <n v="3.218970087645686E-2"/>
    <n v="7318.29"/>
    <n v="4.7256103467006379E-2"/>
    <n v="7245.72"/>
    <n v="4.6787500087173022E-2"/>
    <n v="18969.93"/>
    <n v="0.12249377584679869"/>
    <n v="44012.799999999996"/>
    <n v="2302.14"/>
    <n v="5.2306147302602884E-2"/>
    <n v="1382.22"/>
    <n v="3.1404954922204451E-2"/>
    <n v="2492.2600000000002"/>
    <n v="5.6625799767340418E-2"/>
    <n v="28705.01"/>
    <n v="0.65219686091318896"/>
    <n v="37.634318703459172"/>
    <n v="31.414303642287706"/>
    <n v="124.07684387032656"/>
    <n v="3.3677773569296597E-2"/>
  </r>
  <r>
    <x v="9"/>
    <x v="4"/>
    <x v="48"/>
    <n v="0"/>
    <n v="0"/>
    <n v="0"/>
    <n v="0"/>
    <n v="0"/>
    <n v="0"/>
    <n v="0"/>
    <n v="0"/>
    <n v="0"/>
    <n v="0"/>
    <n v="0"/>
    <s v="$0.00"/>
    <s v="$0.00"/>
    <s v="$0.00"/>
    <s v="0.00%"/>
    <s v="0.00%"/>
    <n v="0"/>
    <n v="0"/>
    <n v="0"/>
    <s v="0.00%"/>
    <n v="0"/>
    <s v="0.00%"/>
    <n v="0"/>
    <n v="0"/>
    <n v="0"/>
    <s v="0.00%"/>
    <n v="0"/>
    <n v="0"/>
    <s v="0.00%"/>
    <n v="0"/>
    <s v="0.00%"/>
    <n v="0"/>
    <n v="0"/>
    <n v="0"/>
    <s v="0.00%"/>
    <n v="0"/>
    <n v="0"/>
    <n v="0"/>
    <s v="0.00%"/>
  </r>
  <r>
    <x v="9"/>
    <x v="4"/>
    <x v="49"/>
    <n v="136114.050002098"/>
    <n v="7036"/>
    <n v="129078.050002098"/>
    <n v="79537.269818771601"/>
    <n v="45924.619808662697"/>
    <n v="33612.650010108897"/>
    <n v="1929.6500005722"/>
    <n v="77607.619818199397"/>
    <n v="60680.520005473903"/>
    <n v="75.179996490478004"/>
    <n v="695"/>
    <n v="195.84755395985323"/>
    <n v="108.42928057573182"/>
    <n v="114.44211484715338"/>
    <n v="0.58434283468565995"/>
    <n v="1.0831904938974362"/>
    <n v="174153.53999999998"/>
    <n v="134017.59999999998"/>
    <n v="6419.14"/>
    <n v="4.7897738804455546E-2"/>
    <n v="6153.53"/>
    <n v="4.5915834935113004E-2"/>
    <n v="8294.5400000000009"/>
    <n v="6.1891423216055223E-2"/>
    <n v="14124.21"/>
    <n v="0.1053907098769117"/>
    <n v="40135.94"/>
    <n v="2394.0700000000002"/>
    <n v="5.9649032762157807E-2"/>
    <n v="1668.2"/>
    <n v="4.1563745610542567E-2"/>
    <n v="2453.96"/>
    <n v="6.1141211592403218E-2"/>
    <n v="27600.45"/>
    <n v="0.68767418926777346"/>
    <n v="40.061210986962671"/>
    <n v="33.47959255124298"/>
    <n v="116.59892188508715"/>
    <n v="2.5606319678824953E-2"/>
  </r>
  <r>
    <x v="9"/>
    <x v="3"/>
    <x v="50"/>
    <n v="43961.260004043601"/>
    <n v="4625"/>
    <n v="39336.260004043601"/>
    <n v="21610.0199927092"/>
    <n v="9448.3700008392298"/>
    <n v="12161.649991869899"/>
    <n v="891.86000823974598"/>
    <n v="20718.159984469385"/>
    <n v="12998.1600131989"/>
    <n v="30"/>
    <n v="273"/>
    <n v="161.03025642506813"/>
    <n v="113.30805857452272"/>
    <n v="79.15758239087593"/>
    <n v="0.491569622679637"/>
    <n v="0.71934514038775266"/>
    <n v="27495.03"/>
    <n v="25776.87"/>
    <n v="0"/>
    <n v="0"/>
    <n v="0"/>
    <n v="0"/>
    <n v="0"/>
    <n v="0"/>
    <n v="0"/>
    <n v="0"/>
    <n v="1718.1599999999999"/>
    <n v="0"/>
    <n v="0"/>
    <n v="0"/>
    <n v="0"/>
    <n v="0"/>
    <n v="0"/>
    <n v="0"/>
    <n v="0"/>
    <n v="27.523434181777382"/>
    <n v="28.841030841885154"/>
    <n v="16.330594571760479"/>
    <n v="2.8831898791382392E-2"/>
  </r>
  <r>
    <x v="9"/>
    <x v="1"/>
    <x v="51"/>
    <n v="0"/>
    <n v="0"/>
    <n v="0"/>
    <n v="0"/>
    <n v="0"/>
    <n v="0"/>
    <n v="0"/>
    <n v="0"/>
    <n v="0"/>
    <n v="0"/>
    <n v="1"/>
    <n v="0"/>
    <n v="0"/>
    <n v="0"/>
    <s v="0.00%"/>
    <s v="0.00%"/>
    <n v="0"/>
    <n v="0"/>
    <n v="0"/>
    <s v="0.00%"/>
    <n v="0"/>
    <s v="0.00%"/>
    <n v="0"/>
    <n v="0"/>
    <n v="0"/>
    <s v="0.00%"/>
    <n v="0"/>
    <n v="0"/>
    <s v="0.00%"/>
    <n v="0"/>
    <s v="0.00%"/>
    <n v="0"/>
    <n v="0"/>
    <n v="0"/>
    <s v="0.00%"/>
    <n v="0"/>
    <n v="0"/>
    <n v="0"/>
    <s v="0.00%"/>
  </r>
  <r>
    <x v="9"/>
    <x v="0"/>
    <x v="6"/>
    <n v="0"/>
    <n v="0"/>
    <n v="0"/>
    <n v="0"/>
    <n v="0"/>
    <n v="0"/>
    <n v="0"/>
    <n v="0"/>
    <n v="0"/>
    <n v="0"/>
    <n v="0"/>
    <s v="$0.00"/>
    <s v="$0.00"/>
    <s v="$0.00"/>
    <s v="0.00%"/>
    <s v="0.00%"/>
    <n v="2786.7999999999997"/>
    <n v="701.18"/>
    <n v="0"/>
    <n v="0"/>
    <n v="0"/>
    <n v="0"/>
    <n v="0"/>
    <n v="0"/>
    <n v="701.18"/>
    <n v="1"/>
    <n v="2085.62"/>
    <n v="0"/>
    <n v="0"/>
    <n v="0"/>
    <n v="0"/>
    <n v="0"/>
    <n v="0"/>
    <n v="2085.62"/>
    <n v="1"/>
    <n v="0"/>
    <n v="0"/>
    <s v="0.00"/>
    <s v="0.00%"/>
  </r>
  <r>
    <x v="10"/>
    <x v="0"/>
    <x v="1"/>
    <n v="157158.72001724143"/>
    <n v="6766"/>
    <n v="150392.72001724143"/>
    <n v="106306.429820135"/>
    <n v="60011.669797852599"/>
    <n v="46294.7600222826"/>
    <n v="7072.8900591134998"/>
    <n v="99233.539761021704"/>
    <n v="67198.770078420595"/>
    <n v="14084.1699761897"/>
    <n v="851"/>
    <n v="184.67534667125904"/>
    <n v="89.160728510729882"/>
    <n v="124.91942399545853"/>
    <n v="0.6764271801683841"/>
    <n v="1.545086695765379"/>
    <n v="155571.19"/>
    <n v="112544.72"/>
    <n v="3897.95"/>
    <n v="3.4634676775596403E-2"/>
    <n v="2244.94"/>
    <n v="1.994709303110799E-2"/>
    <n v="3148.87"/>
    <n v="2.797883365830045E-2"/>
    <n v="9787.7200000000012"/>
    <n v="8.6967385053692448E-2"/>
    <n v="43026.47"/>
    <n v="2793.4"/>
    <n v="6.4922825414215943E-2"/>
    <n v="2488.4"/>
    <n v="5.7834165805375155E-2"/>
    <n v="3225.77"/>
    <n v="7.4971755758722475E-2"/>
    <n v="20769.400000000001"/>
    <n v="0.4827121537044522"/>
    <n v="29.248641357640626"/>
    <n v="22.426125810872939"/>
    <n v="143.20410857586629"/>
    <n v="9.3216703177178575E-2"/>
  </r>
  <r>
    <x v="10"/>
    <x v="0"/>
    <x v="3"/>
    <n v="198624.28000795099"/>
    <n v="15452"/>
    <n v="183172.28000795099"/>
    <n v="131287.579840183"/>
    <n v="68403.389757156401"/>
    <n v="62884.190083026901"/>
    <n v="11844.5001437664"/>
    <n v="119443.07969641691"/>
    <n v="85069.700137404696"/>
    <n v="15565.2899798453"/>
    <n v="923"/>
    <n v="215.19423619496317"/>
    <n v="106.16391104084614"/>
    <n v="142.24006483226796"/>
    <n v="0.66098454748295543"/>
    <n v="1.5240338995064424"/>
    <n v="208688.87"/>
    <n v="164191.81999999998"/>
    <n v="4547.74"/>
    <n v="2.769772574541168E-2"/>
    <n v="6811.25"/>
    <n v="4.148349168673568E-2"/>
    <n v="5108.5600000000004"/>
    <n v="3.111336484363229E-2"/>
    <n v="13330.88"/>
    <n v="8.1190890021195949E-2"/>
    <n v="44497.05"/>
    <n v="3181.69"/>
    <n v="7.1503391797883231E-2"/>
    <n v="2836.25"/>
    <n v="6.3740180528821563E-2"/>
    <n v="2484.7600000000002"/>
    <n v="5.5841005190231711E-2"/>
    <n v="18159.55"/>
    <n v="0.40810682955386923"/>
    <n v="30.79969642947065"/>
    <n v="26.20239494765762"/>
    <n v="87.353789944377809"/>
    <n v="0.12087545646037405"/>
  </r>
  <r>
    <x v="10"/>
    <x v="0"/>
    <x v="8"/>
    <n v="218931.650012778"/>
    <n v="9827"/>
    <n v="209104.650012778"/>
    <n v="130866.309958994"/>
    <n v="81119.229938507095"/>
    <n v="49747.080020487301"/>
    <n v="9913.2701714038794"/>
    <n v="120953.0397875905"/>
    <n v="84636.000141382203"/>
    <n v="17482.949984000999"/>
    <n v="989"/>
    <n v="221.36668353162588"/>
    <n v="118.11193112982284"/>
    <n v="132.32185031243114"/>
    <n v="0.5977496170670451"/>
    <n v="1.224200262870236"/>
    <n v="262296.68000000005"/>
    <n v="198347.78000000003"/>
    <n v="5221.45"/>
    <n v="2.6324721153924684E-2"/>
    <n v="4242.26"/>
    <n v="2.1387988310229637E-2"/>
    <n v="6193.3"/>
    <n v="3.1224448289766588E-2"/>
    <n v="15555.11"/>
    <n v="7.842341366260816E-2"/>
    <n v="63948.9"/>
    <n v="4159.33"/>
    <n v="6.5041462792948743E-2"/>
    <n v="2525.0700000000002"/>
    <n v="3.948574565004246E-2"/>
    <n v="3652.46"/>
    <n v="5.7115290489750406E-2"/>
    <n v="32961.19"/>
    <n v="0.51543013249641512"/>
    <n v="35.782802865638516"/>
    <n v="28.4800136778954"/>
    <n v="174.82461043103186"/>
    <n v="8.4864660956900081E-2"/>
  </r>
  <r>
    <x v="10"/>
    <x v="0"/>
    <x v="5"/>
    <n v="331624.100007931"/>
    <n v="16703"/>
    <n v="314921.100007931"/>
    <n v="202797.42945952"/>
    <n v="113073.949398845"/>
    <n v="89723.480060674294"/>
    <n v="15867.140119679299"/>
    <n v="186930.28933983998"/>
    <n v="131750.88041592599"/>
    <n v="24410.549971718301"/>
    <n v="1465"/>
    <n v="226.36457338425325"/>
    <n v="119.76974035514451"/>
    <n v="138.42827949455241"/>
    <n v="0.61152802059521383"/>
    <n v="1.2706961786091098"/>
    <n v="327791.40999999997"/>
    <n v="246745.89999999997"/>
    <n v="6016.98"/>
    <n v="2.4385329198985679E-2"/>
    <n v="6456.02"/>
    <n v="2.6164649544328806E-2"/>
    <n v="7067.3"/>
    <n v="2.864201593623238E-2"/>
    <n v="19111.14"/>
    <n v="7.7452715526377544E-2"/>
    <n v="81045.510000000009"/>
    <n v="5485.7"/>
    <n v="6.7686661481925398E-2"/>
    <n v="4190.71"/>
    <n v="5.1708108197480646E-2"/>
    <n v="4620.26"/>
    <n v="5.7008216741433297E-2"/>
    <n v="42708.08"/>
    <n v="0.52696417111817784"/>
    <n v="31.333447749716377"/>
    <n v="24.961151787545894"/>
    <n v="140.65690771597599"/>
    <n v="9.0430290123915721E-2"/>
  </r>
  <r>
    <x v="10"/>
    <x v="0"/>
    <x v="10"/>
    <n v="195254.38999973101"/>
    <n v="7328"/>
    <n v="187926.38999973101"/>
    <n v="120447.44972494199"/>
    <n v="78017.899710982994"/>
    <n v="42429.550013959401"/>
    <n v="9940.0801649093592"/>
    <n v="110507.36956003302"/>
    <n v="86913.350166816293"/>
    <n v="22280.849973321001"/>
    <n v="998"/>
    <n v="195.64568136245592"/>
    <n v="86.232655169933579"/>
    <n v="120.68882737970179"/>
    <n v="0.6168744770609681"/>
    <n v="1.5823341585824531"/>
    <n v="267150.66000000003"/>
    <n v="192769.04000000004"/>
    <n v="5796.67"/>
    <n v="3.0070544523124663E-2"/>
    <n v="4504.91"/>
    <n v="2.3369468458212993E-2"/>
    <n v="6953.64"/>
    <n v="3.6072390047696454E-2"/>
    <n v="14860.54"/>
    <n v="7.7089868788058485E-2"/>
    <n v="74381.62"/>
    <n v="5314.31"/>
    <n v="7.144654821984249E-2"/>
    <n v="2991.4"/>
    <n v="4.0216924557437715E-2"/>
    <n v="5288.47"/>
    <n v="7.1099150569724087E-2"/>
    <n v="40930.97"/>
    <n v="0.55028338990196779"/>
    <n v="37.874006603662743"/>
    <n v="28.858139927400902"/>
    <n v="198.99662014536048"/>
    <n v="0.1155014900748708"/>
  </r>
  <r>
    <x v="10"/>
    <x v="0"/>
    <x v="13"/>
    <n v="174682.02000715199"/>
    <n v="10837"/>
    <n v="163845.02000715199"/>
    <n v="115544.069915222"/>
    <n v="64634.129895865903"/>
    <n v="50909.940019356101"/>
    <n v="8547.8801231384296"/>
    <n v="106996.18979208358"/>
    <n v="82799.680084615902"/>
    <n v="14075.849992990499"/>
    <n v="792"/>
    <n v="220.55810606963635"/>
    <n v="98.240517587810103"/>
    <n v="145.88897716568434"/>
    <n v="0.66145370834669359"/>
    <n v="1.6682990062635206"/>
    <n v="205559.31000000003"/>
    <n v="146143.88000000003"/>
    <n v="4781.08"/>
    <n v="3.2714883442262505E-2"/>
    <n v="2562.63"/>
    <n v="1.7534979911577545E-2"/>
    <n v="5188.01"/>
    <n v="3.5499331207026932E-2"/>
    <n v="10938.04"/>
    <n v="7.4844324647737548E-2"/>
    <n v="59415.43"/>
    <n v="4330.6099999999997"/>
    <n v="7.2886958825342171E-2"/>
    <n v="2807.31"/>
    <n v="4.7248837549437914E-2"/>
    <n v="4246.66"/>
    <n v="7.1474026191512871E-2"/>
    <n v="26549.32"/>
    <n v="0.4468421755089545"/>
    <n v="31.163044207500949"/>
    <n v="23.509838930614826"/>
    <n v="156.37011141328188"/>
    <n v="0.10986076008413442"/>
  </r>
  <r>
    <x v="10"/>
    <x v="0"/>
    <x v="12"/>
    <n v="209882.89000682699"/>
    <n v="20164"/>
    <n v="189718.89000682699"/>
    <n v="131344.91982749099"/>
    <n v="71843.159798711495"/>
    <n v="59501.760028779499"/>
    <n v="10847.150178432499"/>
    <n v="120497.76964905849"/>
    <n v="84994.630325088307"/>
    <n v="29030.399976581299"/>
    <n v="1106"/>
    <n v="189.7675316517423"/>
    <n v="86.670759227086236"/>
    <n v="118.75670870478389"/>
    <n v="0.6258009875088848"/>
    <n v="1.5450396845141021"/>
    <n v="265468.98"/>
    <n v="179742.37999999998"/>
    <n v="5883.24"/>
    <n v="3.2731512735060038E-2"/>
    <n v="5125.74"/>
    <n v="2.8517147708848632E-2"/>
    <n v="3925.3"/>
    <n v="2.1838477937145377E-2"/>
    <n v="13509.47"/>
    <n v="7.5160182033864251E-2"/>
    <n v="85726.6"/>
    <n v="5035.29"/>
    <n v="5.8736611506813516E-2"/>
    <n v="4196.54"/>
    <n v="4.8952600476398218E-2"/>
    <n v="5347.9"/>
    <n v="6.2383204279651813E-2"/>
    <n v="50221.29"/>
    <n v="0.5858308856294312"/>
    <n v="35.157082821768263"/>
    <n v="26.108585752170132"/>
    <n v="128.61776718288962"/>
    <n v="0.1131586936303033"/>
  </r>
  <r>
    <x v="10"/>
    <x v="0"/>
    <x v="16"/>
    <n v="161411.74001171099"/>
    <n v="8977"/>
    <n v="152434.74001171099"/>
    <n v="114181.249855766"/>
    <n v="65147.189822673798"/>
    <n v="49034.060033092297"/>
    <n v="10265.6300396919"/>
    <n v="103915.61981607421"/>
    <n v="75730.120086669893"/>
    <n v="12069.699987649899"/>
    <n v="746"/>
    <n v="216.36962468057774"/>
    <n v="98.675495894626266"/>
    <n v="153.05797567797066"/>
    <n v="0.70739123342256172"/>
    <n v="1.8024930906002925"/>
    <n v="146080.60999999999"/>
    <n v="109150.19"/>
    <n v="6063"/>
    <n v="5.5547315126066199E-2"/>
    <n v="4384.97"/>
    <n v="4.0173727594977164E-2"/>
    <n v="1852.2"/>
    <n v="1.6969278752515228E-2"/>
    <n v="7139.05"/>
    <n v="6.5405749637265864E-2"/>
    <n v="36930.42"/>
    <n v="2861.62"/>
    <n v="7.7486798146351982E-2"/>
    <n v="2147.5"/>
    <n v="5.8149893773209192E-2"/>
    <n v="1747.85"/>
    <n v="4.7328191772527908E-2"/>
    <n v="14236.63"/>
    <n v="0.38549872977344962"/>
    <n v="23.035180961040005"/>
    <n v="28.895377823005717"/>
    <n v="105.7679521373733"/>
    <n v="0.13945608331399423"/>
  </r>
  <r>
    <x v="10"/>
    <x v="2"/>
    <x v="19"/>
    <n v="108646.809997559"/>
    <n v="6002"/>
    <n v="102644.809997559"/>
    <n v="63772.790435999603"/>
    <n v="36976.6703288555"/>
    <n v="26796.120107144099"/>
    <n v="13932.1001091003"/>
    <n v="49840.690326899305"/>
    <n v="53396.209532737703"/>
    <n v="7533.4600000679502"/>
    <n v="778"/>
    <n v="139.64885603799357"/>
    <n v="61.333085430274231"/>
    <n v="81.970167655526481"/>
    <n v="0.58697342736001545"/>
    <n v="1.8876043883525768"/>
    <n v="124180.01000000001"/>
    <n v="94467.790000000008"/>
    <n v="2856.36"/>
    <n v="3.0236337697748618E-2"/>
    <n v="3594.05"/>
    <n v="3.8045242722413636E-2"/>
    <n v="1812.27"/>
    <n v="1.9183999117582826E-2"/>
    <n v="6664.5"/>
    <n v="7.0547855517737845E-2"/>
    <n v="29712.22"/>
    <n v="2092.77"/>
    <n v="7.0434656178501642E-2"/>
    <n v="1250.71"/>
    <n v="4.2094128274494463E-2"/>
    <n v="1645.01"/>
    <n v="5.5364762377230647E-2"/>
    <n v="12540.88"/>
    <n v="0.42207818870484937"/>
    <n v="34.501546661111469"/>
    <n v="27.986464021669978"/>
    <n v="132.77556107249256"/>
    <n v="0.29197265329407907"/>
  </r>
  <r>
    <x v="10"/>
    <x v="2"/>
    <x v="21"/>
    <n v="190550"/>
    <n v="16094"/>
    <n v="174456"/>
    <n v="126024.100933084"/>
    <n v="67536.870707511902"/>
    <n v="58487.230225572399"/>
    <n v="25393.260201931"/>
    <n v="100630.84073115329"/>
    <n v="91081.229110717803"/>
    <n v="9295.59000288881"/>
    <n v="940"/>
    <n v="202.71276595744681"/>
    <n v="95.9289158365887"/>
    <n v="134.06819248200458"/>
    <n v="0.66137024892723328"/>
    <n v="1.9454191916494807"/>
    <n v="163084.22999999998"/>
    <n v="118743.67999999999"/>
    <n v="2896.01"/>
    <n v="2.4388750626559666E-2"/>
    <n v="4476.6899999999996"/>
    <n v="3.770044856282035E-2"/>
    <n v="4553.45"/>
    <n v="3.8346882966739791E-2"/>
    <n v="12975.88"/>
    <n v="0.10927638422524887"/>
    <n v="44340.55"/>
    <n v="3280.52"/>
    <n v="7.3984648363631028E-2"/>
    <n v="2674.04"/>
    <n v="6.0306874858340721E-2"/>
    <n v="3179.46"/>
    <n v="7.170547050047868E-2"/>
    <n v="18932.93"/>
    <n v="0.42698906531380415"/>
    <n v="25.955770936952383"/>
    <n v="20.357948257928953"/>
    <n v="98.454333506032114"/>
    <n v="0.28160546131696568"/>
  </r>
  <r>
    <x v="10"/>
    <x v="2"/>
    <x v="23"/>
    <n v="139143.51"/>
    <n v="5979"/>
    <n v="133164.51"/>
    <n v="90774.580577492699"/>
    <n v="55020.6303528547"/>
    <n v="35753.950224638"/>
    <n v="18608.459971427899"/>
    <n v="72166.120606064796"/>
    <n v="70954.999332427993"/>
    <n v="7318.96999755874"/>
    <n v="686"/>
    <n v="202.83310495626824"/>
    <n v="88.731108848415857"/>
    <n v="132.32446148322552"/>
    <n v="0.6523809883586571"/>
    <n v="2.1479474513421812"/>
    <n v="133778.23000000001"/>
    <n v="100232.47"/>
    <n v="1817.73"/>
    <n v="1.8135141237165961E-2"/>
    <n v="3458.91"/>
    <n v="3.4508877213142608E-2"/>
    <n v="3219.36"/>
    <n v="3.2118933116184807E-2"/>
    <n v="9780.7800000000007"/>
    <n v="9.7580953557265426E-2"/>
    <n v="33545.760000000002"/>
    <n v="2104.7800000000002"/>
    <n v="6.2743547917829254E-2"/>
    <n v="1748.05"/>
    <n v="5.2109417106662656E-2"/>
    <n v="1519.84"/>
    <n v="4.5306470922107586E-2"/>
    <n v="15416.99"/>
    <n v="0.45958088294914168"/>
    <n v="28.616682333213657"/>
    <n v="22.4333512225726"/>
    <n v="162.19611045449662"/>
    <n v="0.30571053710275747"/>
  </r>
  <r>
    <x v="10"/>
    <x v="2"/>
    <x v="24"/>
    <n v="100192.690002441"/>
    <n v="10618"/>
    <n v="89574.690002441406"/>
    <n v="70559.850363865495"/>
    <n v="39695.210261002198"/>
    <n v="30864.640102863301"/>
    <n v="15137.450117588"/>
    <n v="55422.400246277495"/>
    <n v="48154.649512290998"/>
    <n v="5038.11000489257"/>
    <n v="499"/>
    <n v="200.78695391270824"/>
    <n v="94.188237445406486"/>
    <n v="141.4025057392094"/>
    <n v="0.70424150067381319"/>
    <n v="2.2145121644534944"/>
    <n v="90752.41"/>
    <n v="67902.36"/>
    <n v="3664.89"/>
    <n v="5.3972939968507723E-2"/>
    <n v="3334.32"/>
    <n v="4.9104626113142459E-2"/>
    <n v="2340.59"/>
    <n v="3.4469935949207067E-2"/>
    <n v="6300.6"/>
    <n v="9.278911660802365E-2"/>
    <n v="22850.05"/>
    <n v="1948.31"/>
    <n v="8.5265021301922747E-2"/>
    <n v="824.23"/>
    <n v="3.607125586158455E-2"/>
    <n v="1790.69"/>
    <n v="7.8367005761475358E-2"/>
    <n v="8991.3799999999992"/>
    <n v="0.3934949814114192"/>
    <n v="26.786567054447662"/>
    <n v="21.9237585547775"/>
    <n v="78.582518150554066"/>
    <n v="0.32207388311640583"/>
  </r>
  <r>
    <x v="10"/>
    <x v="2"/>
    <x v="26"/>
    <n v="93613.5"/>
    <n v="6083"/>
    <n v="87530.5"/>
    <n v="68409.900462031394"/>
    <n v="42675.300301909403"/>
    <n v="25734.6001601219"/>
    <n v="14662.3101334572"/>
    <n v="53747.590328574108"/>
    <n v="53001.079445838899"/>
    <n v="2918.80000543594"/>
    <n v="440"/>
    <n v="212.75795454545454"/>
    <n v="85.667319428920806"/>
    <n v="155.4770465046166"/>
    <n v="0.7307696054739039"/>
    <n v="2.9702999624667856"/>
    <n v="77703.02"/>
    <n v="57466.680000000008"/>
    <n v="1645.16"/>
    <n v="2.862806760369661E-2"/>
    <n v="1482.96"/>
    <n v="2.5805562458106154E-2"/>
    <n v="2409.4"/>
    <n v="4.1926904425312196E-2"/>
    <n v="4356.24"/>
    <n v="7.5804622783150158E-2"/>
    <n v="20236.339999999997"/>
    <n v="1346.98"/>
    <n v="6.6562431744080219E-2"/>
    <n v="556.58000000000004"/>
    <n v="2.7503985404475323E-2"/>
    <n v="609.04999999999995"/>
    <n v="3.0096845575830415E-2"/>
    <n v="8166.68"/>
    <n v="0.40356507154949967"/>
    <n v="21.907824492347057"/>
    <n v="17.27135554039419"/>
    <n v="92.178894624962027"/>
    <n v="0.38898651602076195"/>
  </r>
  <r>
    <x v="10"/>
    <x v="2"/>
    <x v="25"/>
    <n v="88172"/>
    <n v="6357"/>
    <n v="81815"/>
    <n v="57948.130437493302"/>
    <n v="32472.450344204899"/>
    <n v="25475.6800932884"/>
    <n v="12185.7001043335"/>
    <n v="45762.430333159791"/>
    <n v="41677.369421005198"/>
    <n v="48.420000076293"/>
    <n v="431"/>
    <n v="204.57540603248259"/>
    <n v="107.76382964946289"/>
    <n v="134.45041864847633"/>
    <n v="0.65721692189689807"/>
    <n v="1.6913971693585865"/>
    <n v="78784.78"/>
    <n v="61871.710000000006"/>
    <n v="2938.94"/>
    <n v="4.7500545887611635E-2"/>
    <n v="1611.34"/>
    <n v="2.6043243349828212E-2"/>
    <n v="1788.65"/>
    <n v="2.8909011889278635E-2"/>
    <n v="7247"/>
    <n v="0.11712946029776775"/>
    <n v="16913.07"/>
    <n v="1226.76"/>
    <n v="7.2533253868162312E-2"/>
    <n v="1010.76"/>
    <n v="5.9762065668740212E-2"/>
    <n v="814.56"/>
    <n v="4.8161569720931795E-2"/>
    <n v="7367.14"/>
    <n v="0.43558857144208596"/>
    <n v="27.985936441711413"/>
    <n v="23.5714673034059"/>
    <n v="88.875827640567522"/>
    <n v="0.26236155657151661"/>
  </r>
  <r>
    <x v="10"/>
    <x v="2"/>
    <x v="27"/>
    <n v="112153"/>
    <n v="8065"/>
    <n v="104088"/>
    <n v="81401.0007023215"/>
    <n v="48863.250518798799"/>
    <n v="32537.750183522701"/>
    <n v="11926.2001111507"/>
    <n v="69474.800591170802"/>
    <n v="53645.909332275398"/>
    <n v="6414.12002283335"/>
    <n v="632"/>
    <n v="177.45727848101265"/>
    <n v="82.425586463435536"/>
    <n v="128.79905174417959"/>
    <n v="0.72580315018164021"/>
    <n v="2.0265756898216076"/>
    <n v="107566.24"/>
    <n v="81022.33"/>
    <n v="3318.14"/>
    <n v="4.0953401364784252E-2"/>
    <n v="2558.34"/>
    <n v="3.1575739675716558E-2"/>
    <n v="1801.77"/>
    <n v="2.2237943539762432E-2"/>
    <n v="5276.92"/>
    <n v="6.5129205738714252E-2"/>
    <n v="26543.91"/>
    <n v="1548.93"/>
    <n v="5.8353498034012324E-2"/>
    <n v="1589.8"/>
    <n v="5.9893210909771767E-2"/>
    <n v="1716.12"/>
    <n v="6.4652117943437865E-2"/>
    <n v="12259.5"/>
    <n v="0.46185735259048122"/>
    <n v="26.6881003020032"/>
    <n v="21.47642794346983"/>
    <n v="102.93213408591494"/>
    <n v="0.22894067977903462"/>
  </r>
  <r>
    <x v="10"/>
    <x v="3"/>
    <x v="28"/>
    <n v="126122.610003013"/>
    <n v="4760"/>
    <n v="121362.610003013"/>
    <n v="76297.039960283801"/>
    <n v="37516.829840201899"/>
    <n v="38780.210120081902"/>
    <n v="6345.8700733184796"/>
    <n v="69951.169886965319"/>
    <n v="62713.140061717502"/>
    <n v="3240.5999951362601"/>
    <n v="555"/>
    <n v="227.24794595137479"/>
    <n v="108.41237828136801"/>
    <n v="137.47214407258343"/>
    <n v="0.60494339562479005"/>
    <n v="1.4175545796506877"/>
    <n v="110745"/>
    <n v="83635.7"/>
    <n v="1831.87"/>
    <n v="2.1902967273544668E-2"/>
    <n v="735.34"/>
    <n v="8.7921784596769088E-3"/>
    <n v="2823.8"/>
    <n v="3.3763093989767533E-2"/>
    <n v="5501.66"/>
    <n v="6.5781239351138332E-2"/>
    <n v="27109.300000000003"/>
    <n v="2295.5700000000002"/>
    <n v="8.4678320723884426E-2"/>
    <n v="1568.19"/>
    <n v="5.7846938135621348E-2"/>
    <n v="1357.14"/>
    <n v="5.0061786914453711E-2"/>
    <n v="11316.11"/>
    <n v="0.41742538538435148"/>
    <n v="27.999889989004089"/>
    <n v="22.256133915667501"/>
    <n v="137.38594515456953"/>
    <n v="0.10546766258028344"/>
  </r>
  <r>
    <x v="10"/>
    <x v="3"/>
    <x v="30"/>
    <n v="184793.67000373601"/>
    <n v="5745"/>
    <n v="179048.67000373601"/>
    <n v="98659.689638838201"/>
    <n v="57667.189600672602"/>
    <n v="40992.500038165599"/>
    <n v="9662.0301375482195"/>
    <n v="88997.659501289978"/>
    <n v="91805.320358276396"/>
    <n v="5170.3800095915803"/>
    <n v="762"/>
    <n v="242.51137795765882"/>
    <n v="115.24667931216278"/>
    <n v="129.4746583186853"/>
    <n v="0.53389106692260391"/>
    <n v="1.2623441068219667"/>
    <n v="179844.87"/>
    <n v="138847.59999999998"/>
    <n v="3669.31"/>
    <n v="2.6426888185319734E-2"/>
    <n v="3571.95"/>
    <n v="2.5725687732449105E-2"/>
    <n v="4016.45"/>
    <n v="2.8927039430281836E-2"/>
    <n v="5270.71"/>
    <n v="3.7960396866780564E-2"/>
    <n v="40997.270000000004"/>
    <n v="3688.83"/>
    <n v="8.997745459636701E-2"/>
    <n v="2128.1799999999998"/>
    <n v="5.1910285733659821E-2"/>
    <n v="2312.37"/>
    <n v="5.6403023908665133E-2"/>
    <n v="20039.310000000001"/>
    <n v="0.48879620521073719"/>
    <n v="31.43933076109818"/>
    <n v="25.12160613383849"/>
    <n v="212.02645278052856"/>
    <n v="0.11002338334182912"/>
  </r>
  <r>
    <x v="10"/>
    <x v="3"/>
    <x v="29"/>
    <n v="168916.00000053301"/>
    <n v="9699"/>
    <n v="159217.00000053301"/>
    <n v="105040.149941683"/>
    <n v="54224.419827938102"/>
    <n v="50815.730113744699"/>
    <n v="9012.5701413154602"/>
    <n v="96027.579800367341"/>
    <n v="78255.990044117003"/>
    <n v="7752.7599895261201"/>
    <n v="714"/>
    <n v="236.57703081307145"/>
    <n v="116.11659659228275"/>
    <n v="147.11505594073222"/>
    <n v="0.62184843319372562"/>
    <n v="1.4214846074118743"/>
    <n v="141676.84"/>
    <n v="103748.36"/>
    <n v="1600.68"/>
    <n v="1.5428484845447196E-2"/>
    <n v="2990.63"/>
    <n v="2.8825805053689525E-2"/>
    <n v="1881.76"/>
    <n v="1.8137732490422016E-2"/>
    <n v="5687.58"/>
    <n v="5.4820914759520056E-2"/>
    <n v="37928.479999999996"/>
    <n v="2852.25"/>
    <n v="7.5200746246619959E-2"/>
    <n v="681.37"/>
    <n v="1.7964600743293695E-2"/>
    <n v="1828.63"/>
    <n v="4.8212583261970962E-2"/>
    <n v="20678.759999999998"/>
    <n v="0.54520402610386709"/>
    <n v="27.197524507241134"/>
    <n v="21.146697485558693"/>
    <n v="125.15355453712191"/>
    <n v="0.10870665888586041"/>
  </r>
  <r>
    <x v="10"/>
    <x v="3"/>
    <x v="32"/>
    <n v="68257.8700013161"/>
    <n v="3900"/>
    <n v="64357.8700013161"/>
    <n v="33619.149962570496"/>
    <n v="16578.859922792799"/>
    <n v="17040.290039777799"/>
    <n v="2997.7500107288402"/>
    <n v="30621.399951841759"/>
    <n v="32023.020120620698"/>
    <n v="0"/>
    <n v="257"/>
    <n v="265.59482490784472"/>
    <n v="140.9916337770249"/>
    <n v="130.8138130839323"/>
    <n v="0.49253148335748503"/>
    <n v="1.0114946879871811"/>
    <n v="53740.930000000015"/>
    <n v="48910.770000000011"/>
    <n v="915.41"/>
    <n v="1.871591880479493E-2"/>
    <n v="1388.07"/>
    <n v="2.8379639085624693E-2"/>
    <n v="724.47"/>
    <n v="1.4812075131918795E-2"/>
    <n v="905.72"/>
    <n v="1.8517802929702391E-2"/>
    <n v="4830.1600000000008"/>
    <n v="688.65"/>
    <n v="0.14257291683919371"/>
    <n v="454.56"/>
    <n v="9.410868377030987E-2"/>
    <n v="107.63"/>
    <n v="2.2282905742252841E-2"/>
    <n v="890.72"/>
    <n v="0.18440796992232139"/>
    <n v="28.227994744304766"/>
    <n v="27.027749561663757"/>
    <n v="51.293734513274345"/>
    <n v="8.27311281983793E-2"/>
  </r>
  <r>
    <x v="10"/>
    <x v="3"/>
    <x v="31"/>
    <n v="205511.88000181099"/>
    <n v="15582"/>
    <n v="189929.88000181099"/>
    <n v="140107.259777859"/>
    <n v="76486.749649718404"/>
    <n v="63620.510128140399"/>
    <n v="13424.6002206802"/>
    <n v="126682.65955717859"/>
    <n v="89386.180399242803"/>
    <n v="10834.920009776901"/>
    <n v="1353"/>
    <n v="151.89348115433185"/>
    <n v="77.820236210488758"/>
    <n v="103.55303752982911"/>
    <n v="0.68174774021153506"/>
    <n v="1.5251233994432651"/>
    <n v="212352.95"/>
    <n v="148710.84000000003"/>
    <n v="4211.01"/>
    <n v="2.8316765610361689E-2"/>
    <n v="4158.8100000000004"/>
    <n v="2.7965748831759674E-2"/>
    <n v="4410.51"/>
    <n v="2.9658295252719975E-2"/>
    <n v="7766.97"/>
    <n v="5.2228674116829674E-2"/>
    <n v="63642.11"/>
    <n v="5531.37"/>
    <n v="8.6913680266100538E-2"/>
    <n v="3447.51"/>
    <n v="5.4170265567876366E-2"/>
    <n v="4462.33"/>
    <n v="7.0115997096890717E-2"/>
    <n v="30558.65"/>
    <n v="0.48016399833380763"/>
    <n v="30.549024104056002"/>
    <n v="22.925315697118602"/>
    <n v="137.02191043490743"/>
    <n v="0.12750024525033826"/>
  </r>
  <r>
    <x v="10"/>
    <x v="3"/>
    <x v="52"/>
    <n v="14488.7899999619"/>
    <n v="1833"/>
    <n v="12655.7899999619"/>
    <n v="4096.3200073242197"/>
    <n v="178.30000305175801"/>
    <n v="3918.02000427246"/>
    <n v="0"/>
    <n v="4096.3200073242178"/>
    <n v="183.49000549316401"/>
    <n v="0"/>
    <n v="85"/>
    <n v="170.45635294072824"/>
    <n v="168.29764699374985"/>
    <n v="48.192000086167269"/>
    <n v="0.28272340252947203"/>
    <n v="0.28634981502716433"/>
    <n v="10183.98"/>
    <n v="10108.98"/>
    <n v="0"/>
    <n v="0"/>
    <n v="0"/>
    <n v="0"/>
    <n v="0"/>
    <n v="0"/>
    <n v="0"/>
    <n v="0"/>
    <n v="75"/>
    <n v="0"/>
    <n v="0"/>
    <n v="0"/>
    <n v="0"/>
    <n v="0"/>
    <n v="0"/>
    <n v="0"/>
    <n v="0"/>
    <n v="21.086605575814364"/>
    <n v="23.962897614523705"/>
    <n v="1.2274959083469723"/>
    <n v="0"/>
  </r>
  <r>
    <x v="10"/>
    <x v="3"/>
    <x v="33"/>
    <n v="116187.280002117"/>
    <n v="7630"/>
    <n v="108557.280002117"/>
    <n v="67992.769733501598"/>
    <n v="35547.1296964418"/>
    <n v="32445.640037059798"/>
    <n v="4802.8400588035602"/>
    <n v="63189.92967469804"/>
    <n v="60126.990283357001"/>
    <n v="3093.6199936866801"/>
    <n v="476"/>
    <n v="244.09092437419537"/>
    <n v="111.27451622914562"/>
    <n v="142.841953221642"/>
    <n v="0.58519977171565363"/>
    <n v="1.4116977450636263"/>
    <n v="100119.93"/>
    <n v="76248.72"/>
    <n v="2353.9499999999998"/>
    <n v="3.0871993654450852E-2"/>
    <n v="2566.15"/>
    <n v="3.3654991191983286E-2"/>
    <n v="1679.47"/>
    <n v="2.2026205816963223E-2"/>
    <n v="4420.55"/>
    <n v="5.7975399455885951E-2"/>
    <n v="23871.21"/>
    <n v="1770.83"/>
    <n v="7.4182666065105207E-2"/>
    <n v="1411.94"/>
    <n v="5.9148237563156625E-2"/>
    <n v="1789.69"/>
    <n v="7.4972739128012361E-2"/>
    <n v="11001.06"/>
    <n v="0.46085053920601426"/>
    <n v="28.62162426340516"/>
    <n v="23.192220314425914"/>
    <n v="113.47423890865875"/>
    <n v="9.0676647856718015E-2"/>
  </r>
  <r>
    <x v="10"/>
    <x v="3"/>
    <x v="34"/>
    <n v="95074.2900011819"/>
    <n v="3342"/>
    <n v="91732.2900011819"/>
    <n v="59283.889892578103"/>
    <n v="35424.479846954302"/>
    <n v="23859.410045623801"/>
    <n v="2720.2400207519499"/>
    <n v="56563.64987182615"/>
    <n v="48788.440147399902"/>
    <n v="240.10999679565401"/>
    <n v="519"/>
    <n v="183.18745664967611"/>
    <n v="88.720115331380242"/>
    <n v="114.22714815525646"/>
    <n v="0.62355332752777981"/>
    <n v="1.3683371251725811"/>
    <n v="86273.180000000008"/>
    <n v="66326.570000000007"/>
    <n v="2453.15"/>
    <n v="3.6985931882200451E-2"/>
    <n v="2176.4699999999998"/>
    <n v="3.2814451282495077E-2"/>
    <n v="1242.56"/>
    <n v="1.8733970413365258E-2"/>
    <n v="2989.55"/>
    <n v="4.5073188618075681E-2"/>
    <n v="19946.61"/>
    <n v="1943.99"/>
    <n v="9.7459668585288428E-2"/>
    <n v="1879.72"/>
    <n v="9.4237567185601959E-2"/>
    <n v="965.25"/>
    <n v="4.8391681594015225E-2"/>
    <n v="6345.19"/>
    <n v="0.31810869115102763"/>
    <n v="27.483736388399674"/>
    <n v="21.984710633835618"/>
    <n v="163.33317259576017"/>
    <n v="5.9076909811868694E-2"/>
  </r>
  <r>
    <x v="10"/>
    <x v="3"/>
    <x v="50"/>
    <n v="54538.800000190698"/>
    <n v="3770"/>
    <n v="50768.800000190698"/>
    <n v="25445.370039463"/>
    <n v="11836.030022144299"/>
    <n v="13609.3400173187"/>
    <n v="339.61999797820999"/>
    <n v="25105.750041484789"/>
    <n v="17074.9100112915"/>
    <n v="240.620002746582"/>
    <n v="270"/>
    <n v="201.99555555626185"/>
    <n v="137.86396291167637"/>
    <n v="94.242111257270366"/>
    <n v="0.46655537047705536"/>
    <n v="0.68988210352341117"/>
    <n v="39489.870000000003"/>
    <n v="36421.980000000003"/>
    <n v="920"/>
    <n v="2.5259472439444531E-2"/>
    <n v="0"/>
    <n v="0"/>
    <n v="0"/>
    <n v="0"/>
    <n v="0"/>
    <n v="0"/>
    <n v="3067.8900000000003"/>
    <n v="140.5"/>
    <n v="4.5796948391239579E-2"/>
    <n v="0"/>
    <n v="0"/>
    <n v="0"/>
    <n v="0"/>
    <n v="0"/>
    <n v="0"/>
    <n v="26.36011201368942"/>
    <n v="26.650387435713149"/>
    <n v="23.341795587116412"/>
    <n v="9.1238625221414342E-3"/>
  </r>
  <r>
    <x v="10"/>
    <x v="3"/>
    <x v="35"/>
    <n v="94906.270001430094"/>
    <n v="4494"/>
    <n v="90412.270001430094"/>
    <n v="55597.039915233901"/>
    <n v="27441.289834141699"/>
    <n v="28155.750081092101"/>
    <n v="4235.3300423622104"/>
    <n v="51361.709872871586"/>
    <n v="49802.510076761202"/>
    <n v="38.479999542236001"/>
    <n v="459"/>
    <n v="206.76747277000021"/>
    <n v="98.18143774537397"/>
    <n v="121.1264486170671"/>
    <n v="0.58580997772218879"/>
    <n v="1.3616729894322743"/>
    <n v="84548.37"/>
    <n v="67354.31"/>
    <n v="1952.63"/>
    <n v="2.8990423923873621E-2"/>
    <n v="1853.59"/>
    <n v="2.7519990925599268E-2"/>
    <n v="1800.19"/>
    <n v="2.6727168610293835E-2"/>
    <n v="2686.61"/>
    <n v="3.988772210716731E-2"/>
    <n v="17194.059999999998"/>
    <n v="1970.33"/>
    <n v="0.11459364454933856"/>
    <n v="1995.87"/>
    <n v="0.11607904125029227"/>
    <n v="745.91"/>
    <n v="4.3381842333922303E-2"/>
    <n v="5170.55"/>
    <n v="0.30071722443681137"/>
    <n v="26.312446713187303"/>
    <n v="22.057011551845026"/>
    <n v="107.73220551378445"/>
    <n v="9.3982108829657005E-2"/>
  </r>
  <r>
    <x v="10"/>
    <x v="3"/>
    <x v="36"/>
    <n v="84407.470000514804"/>
    <n v="5178"/>
    <n v="79229.470000514804"/>
    <n v="49150.339844256603"/>
    <n v="26869.609816581"/>
    <n v="22280.7300276756"/>
    <n v="2885.2200057506602"/>
    <n v="46265.119838505932"/>
    <n v="42789.810105174802"/>
    <n v="0"/>
    <n v="413"/>
    <n v="204.37644067921261"/>
    <n v="100.76915228895885"/>
    <n v="119.00808678996755"/>
    <n v="0.58229846059782175"/>
    <n v="1.2689709190633101"/>
    <n v="67638.02"/>
    <n v="57282.310000000005"/>
    <n v="2110.41"/>
    <n v="3.6842264217347376E-2"/>
    <n v="1542.05"/>
    <n v="2.6920178323814103E-2"/>
    <n v="1218.1099999999999"/>
    <n v="2.1265029290892769E-2"/>
    <n v="208.98"/>
    <n v="3.6482467274800887E-3"/>
    <n v="10355.710000000001"/>
    <n v="1187.6300000000001"/>
    <n v="0.11468359001941923"/>
    <n v="803.02"/>
    <n v="7.7543693286119431E-2"/>
    <n v="804.2"/>
    <n v="7.7657640084552379E-2"/>
    <n v="2.14"/>
    <n v="2.0664927851397923E-4"/>
    <n v="23.662667212245136"/>
    <n v="21.163894599715555"/>
    <n v="68.209448185011709"/>
    <n v="6.9326819744464363E-2"/>
  </r>
  <r>
    <x v="10"/>
    <x v="4"/>
    <x v="37"/>
    <n v="78358.960005054294"/>
    <n v="4331"/>
    <n v="74027.960005054294"/>
    <n v="45519.919890224897"/>
    <n v="24046.269859135198"/>
    <n v="21473.650031089801"/>
    <n v="2198.2299985885602"/>
    <n v="43321.689891636437"/>
    <n v="35702.260024070703"/>
    <n v="170"/>
    <n v="314"/>
    <n v="249.55082804157419"/>
    <n v="135.30796172287768"/>
    <n v="144.96789773957005"/>
    <n v="0.58091531443613953"/>
    <n v="1.1298498034329914"/>
    <n v="68017.799999999988"/>
    <n v="53378.979999999996"/>
    <n v="2068"/>
    <n v="3.8741841826127069E-2"/>
    <n v="1329.7"/>
    <n v="2.49105546790141E-2"/>
    <n v="1346.74"/>
    <n v="2.5229781460792248E-2"/>
    <n v="2269.12"/>
    <n v="4.2509617081480391E-2"/>
    <n v="14638.82"/>
    <n v="528.71"/>
    <n v="3.611698210648126E-2"/>
    <n v="560.87"/>
    <n v="3.8313880490367394E-2"/>
    <n v="1633.96"/>
    <n v="0.11161828617333912"/>
    <n v="5886.07"/>
    <n v="0.40208637034952271"/>
    <n v="26.439193049048392"/>
    <n v="22.138836223694778"/>
    <n v="90.636612548156307"/>
    <n v="5.1739250155282829E-2"/>
  </r>
  <r>
    <x v="10"/>
    <x v="4"/>
    <x v="38"/>
    <n v="191791.89000892601"/>
    <n v="9215"/>
    <n v="182576.89000892601"/>
    <n v="117073.299883395"/>
    <n v="63766.589766770601"/>
    <n v="53306.710116624803"/>
    <n v="4912.4200158305503"/>
    <n v="112160.87986756486"/>
    <n v="86301.010213255897"/>
    <n v="2461.1400006096801"/>
    <n v="888"/>
    <n v="215.98185811815992"/>
    <n v="116.02448175119419"/>
    <n v="131.83930167049033"/>
    <n v="0.61041840652358559"/>
    <n v="1.1931970843355451"/>
    <n v="195328.32"/>
    <n v="159203.09"/>
    <n v="5812.51"/>
    <n v="3.6510032562810185E-2"/>
    <n v="1795.84"/>
    <n v="1.1280183066798516E-2"/>
    <n v="3450.95"/>
    <n v="2.1676400878902539E-2"/>
    <n v="18348.3"/>
    <n v="0.1152509037355996"/>
    <n v="36125.230000000003"/>
    <n v="2489.92"/>
    <n v="6.8924682278839466E-2"/>
    <n v="1812.37"/>
    <n v="5.0169092349031406E-2"/>
    <n v="3903.61"/>
    <n v="0.10805772032454879"/>
    <n v="15081.4"/>
    <n v="0.4174755427162678"/>
    <n v="30.41782445701412"/>
    <n v="26.143879925338751"/>
    <n v="108.80729225929521"/>
    <n v="4.7679631391887363E-2"/>
  </r>
  <r>
    <x v="10"/>
    <x v="4"/>
    <x v="40"/>
    <n v="227884.190006541"/>
    <n v="10163"/>
    <n v="217721.190006541"/>
    <n v="139861.769850463"/>
    <n v="81902.949784964294"/>
    <n v="57958.820065498403"/>
    <n v="11357.7401794791"/>
    <n v="128504.02967098361"/>
    <n v="89624.090131649704"/>
    <n v="13770.209997489999"/>
    <n v="1081"/>
    <n v="210.80868640753098"/>
    <n v="115.16178527049146"/>
    <n v="129.38184074973424"/>
    <n v="0.61374055763345503"/>
    <n v="1.2362690024357545"/>
    <n v="222619.97999999998"/>
    <n v="179774"/>
    <n v="6356.28"/>
    <n v="3.5357059419048362E-2"/>
    <n v="4503.1899999999996"/>
    <n v="2.5049172850356557E-2"/>
    <n v="4109.76"/>
    <n v="2.2860702882508039E-2"/>
    <n v="6357.63"/>
    <n v="3.5364568847553041E-2"/>
    <n v="42845.979999999996"/>
    <n v="2848.52"/>
    <n v="6.6482783215601568E-2"/>
    <n v="2541.63"/>
    <n v="5.9320150921976816E-2"/>
    <n v="2060.17"/>
    <n v="4.808315739306232E-2"/>
    <n v="21452.06"/>
    <n v="0.50067847672056986"/>
    <n v="29.915518863495699"/>
    <n v="25.381134050379927"/>
    <n v="119.46645393147034"/>
    <n v="9.1234237500445223E-2"/>
  </r>
  <r>
    <x v="10"/>
    <x v="4"/>
    <x v="42"/>
    <n v="242116.40000833201"/>
    <n v="9331"/>
    <n v="232785.40000833201"/>
    <n v="136766.25987189999"/>
    <n v="86408.109803855405"/>
    <n v="50358.150068044699"/>
    <n v="12257.2301883698"/>
    <n v="124509.02968353032"/>
    <n v="101867.54004481201"/>
    <n v="22815.399939656301"/>
    <n v="1109"/>
    <n v="218.31956718515059"/>
    <n v="105.89130750573825"/>
    <n v="123.32394938854834"/>
    <n v="0.56487813244866325"/>
    <n v="1.3003533220939383"/>
    <n v="266228.94"/>
    <n v="202003.48"/>
    <n v="6581.32"/>
    <n v="3.2580230796023908E-2"/>
    <n v="4206.55"/>
    <n v="2.0824146197877383E-2"/>
    <n v="7559.22"/>
    <n v="3.74212365054305E-2"/>
    <n v="14233.73"/>
    <n v="7.0462795987475055E-2"/>
    <n v="64225.460000000006"/>
    <n v="2372.14"/>
    <n v="3.6934573921307834E-2"/>
    <n v="5693.79"/>
    <n v="8.8653160288770211E-2"/>
    <n v="3667.97"/>
    <n v="5.7110840467316223E-2"/>
    <n v="37014.550000000003"/>
    <n v="0.5763220691607347"/>
    <n v="34.95077418376281"/>
    <n v="27.558501612101164"/>
    <n v="223.57435599907174"/>
    <n v="0.10437596053015044"/>
  </r>
  <r>
    <x v="10"/>
    <x v="4"/>
    <x v="44"/>
    <n v="184807.05000761"/>
    <n v="10887"/>
    <n v="173920.05000761"/>
    <n v="97945.509749568999"/>
    <n v="49292.679701387897"/>
    <n v="48652.830048181102"/>
    <n v="8117.0700798034704"/>
    <n v="89828.439669765532"/>
    <n v="58055.670213699297"/>
    <n v="11938.9200021774"/>
    <n v="936"/>
    <n v="197.44342949530983"/>
    <n v="122.66288439287746"/>
    <n v="104.6426386213344"/>
    <n v="0.52998795092252049"/>
    <n v="0.91799195835935454"/>
    <n v="174166.22999999998"/>
    <n v="142236.18"/>
    <n v="5728.04"/>
    <n v="4.0271328996602691E-2"/>
    <n v="3098.87"/>
    <n v="2.1786791518163665E-2"/>
    <n v="2652.53"/>
    <n v="1.8648771360423207E-2"/>
    <n v="8468.5499999999993"/>
    <n v="5.9538649027272808E-2"/>
    <n v="31930.049999999996"/>
    <n v="1702.89"/>
    <n v="5.33318926841643E-2"/>
    <n v="1831.39"/>
    <n v="5.7356314819425602E-2"/>
    <n v="1497.22"/>
    <n v="4.6890624975532459E-2"/>
    <n v="16368.88"/>
    <n v="0.51264811674269228"/>
    <n v="32.966620281694141"/>
    <n v="28.660036130512044"/>
    <n v="99.708701988133626"/>
    <n v="7.0698512117305184E-2"/>
  </r>
  <r>
    <x v="10"/>
    <x v="4"/>
    <x v="45"/>
    <n v="80112.830000648304"/>
    <n v="5201"/>
    <n v="74911.830000648304"/>
    <n v="52025.429948449098"/>
    <n v="29236.549911141399"/>
    <n v="22788.880037307699"/>
    <n v="2143.51999306679"/>
    <n v="49881.909955382311"/>
    <n v="36334.070156097398"/>
    <n v="78"/>
    <n v="428"/>
    <n v="187.17950934730914"/>
    <n v="102.10457907605353"/>
    <n v="121.55474287020817"/>
    <n v="0.64940197404121269"/>
    <n v="1.2518981081124696"/>
    <n v="67338.83"/>
    <n v="49698.54"/>
    <n v="1161.83"/>
    <n v="2.3377547911870245E-2"/>
    <n v="1095.23"/>
    <n v="2.2037468303897859E-2"/>
    <n v="1771.95"/>
    <n v="3.5653964885085154E-2"/>
    <n v="2452.7399999999998"/>
    <n v="4.9352355220092979E-2"/>
    <n v="17640.29"/>
    <n v="2594.85"/>
    <n v="0.14709792185956125"/>
    <n v="812.12"/>
    <n v="4.6037791895711465E-2"/>
    <n v="760.85"/>
    <n v="4.3131377091873202E-2"/>
    <n v="8700.68"/>
    <n v="0.49322771904543516"/>
    <n v="26.820133902871699"/>
    <n v="21.037002789615226"/>
    <n v="118.9322121507229"/>
    <n v="4.9049947888585001E-2"/>
  </r>
  <r>
    <x v="10"/>
    <x v="4"/>
    <x v="47"/>
    <n v="168294.470005549"/>
    <n v="9133"/>
    <n v="159161.470005549"/>
    <n v="105355.60988223601"/>
    <n v="60230.609850287401"/>
    <n v="45125.000031948097"/>
    <n v="6731.0200754404104"/>
    <n v="98624.589806795091"/>
    <n v="64540.730116844199"/>
    <n v="21007.179987698801"/>
    <n v="847"/>
    <n v="198.69476978223022"/>
    <n v="97.693695278637534"/>
    <n v="124.38678852684238"/>
    <n v="0.62601944008476162"/>
    <n v="1.3859746326079794"/>
    <n v="182227.95"/>
    <n v="140098.76"/>
    <n v="7167.61"/>
    <n v="5.1161123767262458E-2"/>
    <n v="1899.36"/>
    <n v="1.3557293440712822E-2"/>
    <n v="4101.7700000000004"/>
    <n v="2.9277703814080867E-2"/>
    <n v="13446.65"/>
    <n v="9.5979793111659217E-2"/>
    <n v="42129.19"/>
    <n v="3093.1"/>
    <n v="7.341940350621505E-2"/>
    <n v="2130.4499999999998"/>
    <n v="5.0569450777477556E-2"/>
    <n v="1736.58"/>
    <n v="4.1220351020278337E-2"/>
    <n v="22661.79"/>
    <n v="0.53791183737451398"/>
    <n v="33.478473944608389"/>
    <n v="27.39184508133091"/>
    <n v="128.23847870937195"/>
    <n v="8.1345014022251555E-2"/>
  </r>
  <r>
    <x v="10"/>
    <x v="4"/>
    <x v="49"/>
    <n v="144545.54000663801"/>
    <n v="8509"/>
    <n v="136036.54000663801"/>
    <n v="84065.589878931598"/>
    <n v="47998.429838806398"/>
    <n v="36067.160040125302"/>
    <n v="4678.9700040817297"/>
    <n v="79386.619874849974"/>
    <n v="67285.330048561096"/>
    <n v="16482.7999781668"/>
    <n v="687"/>
    <n v="210.40107715667833"/>
    <n v="88.467845676725048"/>
    <n v="122.3662152531757"/>
    <n v="0.58158549807258753"/>
    <n v="1.4985370344550359"/>
    <n v="155465.28999999998"/>
    <n v="115938.75"/>
    <n v="1809.66"/>
    <n v="1.5608758935213638E-2"/>
    <n v="4557.95"/>
    <n v="3.9313430582958671E-2"/>
    <n v="2892.44"/>
    <n v="2.4948000560640855E-2"/>
    <n v="13644.23"/>
    <n v="0.11768481202359003"/>
    <n v="39526.539999999994"/>
    <n v="1738.32"/>
    <n v="4.3978552132314143E-2"/>
    <n v="2075.5"/>
    <n v="5.2509023051347282E-2"/>
    <n v="2203.5700000000002"/>
    <n v="5.5749124512289729E-2"/>
    <n v="22622.76"/>
    <n v="0.57234354436285095"/>
    <n v="34.028516644638181"/>
    <n v="26.865181400219655"/>
    <n v="156.16965626234688"/>
    <n v="7.6985347115455516E-2"/>
  </r>
  <r>
    <x v="10"/>
    <x v="0"/>
    <x v="0"/>
    <n v="0"/>
    <n v="0"/>
    <n v="0"/>
    <n v="35"/>
    <n v="0"/>
    <n v="35"/>
    <n v="50"/>
    <n v="-15"/>
    <n v="0"/>
    <n v="-35"/>
    <n v="0"/>
    <s v="$0.00"/>
    <s v="$0.00"/>
    <s v="$0.00"/>
    <s v="0.00%"/>
    <n v="-2.3333333333333335"/>
    <n v="0"/>
    <n v="0"/>
    <n v="0"/>
    <s v="0.00%"/>
    <n v="0"/>
    <s v="0.00%"/>
    <n v="0"/>
    <n v="0"/>
    <n v="0"/>
    <s v="0.00%"/>
    <n v="0"/>
    <n v="0"/>
    <s v="0.00%"/>
    <n v="0"/>
    <s v="0.00%"/>
    <n v="0"/>
    <n v="0"/>
    <n v="0"/>
    <s v="0.00%"/>
    <s v="0.00"/>
    <s v="0.00"/>
    <s v="0.00"/>
    <n v="1.4285714285714286"/>
  </r>
  <r>
    <x v="10"/>
    <x v="2"/>
    <x v="20"/>
    <n v="0"/>
    <n v="0"/>
    <n v="0"/>
    <n v="25"/>
    <n v="25"/>
    <n v="0"/>
    <n v="0"/>
    <n v="25"/>
    <n v="162"/>
    <n v="-9.6700000762930003"/>
    <n v="0"/>
    <s v="$0.00"/>
    <s v="$0.00"/>
    <s v="$0.00"/>
    <s v="0.00%"/>
    <n v="-0.16411737683004665"/>
    <n v="0"/>
    <n v="0"/>
    <n v="0"/>
    <s v="0.00%"/>
    <n v="0"/>
    <s v="0.00%"/>
    <n v="0"/>
    <n v="0"/>
    <n v="0"/>
    <s v="0.00%"/>
    <n v="0"/>
    <n v="0"/>
    <s v="0.00%"/>
    <n v="0"/>
    <s v="0.00%"/>
    <n v="0"/>
    <n v="0"/>
    <n v="0"/>
    <s v="0.00%"/>
    <s v="0.00"/>
    <s v="0.00"/>
    <s v="0.00"/>
    <n v="0"/>
  </r>
  <r>
    <x v="10"/>
    <x v="2"/>
    <x v="22"/>
    <n v="0"/>
    <n v="0"/>
    <n v="0"/>
    <n v="20"/>
    <n v="20"/>
    <n v="0"/>
    <n v="0"/>
    <n v="20"/>
    <n v="167"/>
    <n v="-20"/>
    <n v="0"/>
    <s v="$0.00"/>
    <s v="$0.00"/>
    <s v="$0.00"/>
    <s v="0.00%"/>
    <n v="-0.1360544217687075"/>
    <n v="0"/>
    <n v="0"/>
    <n v="0"/>
    <s v="0.00%"/>
    <n v="0"/>
    <s v="0.00%"/>
    <n v="0"/>
    <n v="0"/>
    <n v="0"/>
    <s v="0.00%"/>
    <n v="0"/>
    <n v="0"/>
    <s v="0.00%"/>
    <n v="0"/>
    <s v="0.00%"/>
    <n v="0"/>
    <n v="0"/>
    <n v="0"/>
    <s v="0.00%"/>
    <s v="0.00"/>
    <s v="0.00"/>
    <s v="0.00"/>
    <n v="0"/>
  </r>
  <r>
    <x v="10"/>
    <x v="4"/>
    <x v="46"/>
    <n v="0"/>
    <n v="0"/>
    <n v="0"/>
    <n v="0"/>
    <n v="0"/>
    <n v="0"/>
    <n v="0"/>
    <n v="0"/>
    <n v="0"/>
    <n v="-30"/>
    <n v="0"/>
    <s v="$0.00"/>
    <s v="$0.00"/>
    <s v="$0.00"/>
    <s v="0.00%"/>
    <n v="0"/>
    <n v="0"/>
    <n v="0"/>
    <n v="0"/>
    <s v="0.00%"/>
    <n v="0"/>
    <s v="0.00%"/>
    <n v="0"/>
    <n v="0"/>
    <n v="0"/>
    <s v="0.00%"/>
    <n v="0"/>
    <n v="0"/>
    <s v="0.00%"/>
    <n v="0"/>
    <s v="0.00%"/>
    <n v="0"/>
    <n v="0"/>
    <n v="0"/>
    <s v="0.00%"/>
    <n v="0"/>
    <n v="0"/>
    <n v="0"/>
    <n v="0"/>
  </r>
  <r>
    <x v="10"/>
    <x v="0"/>
    <x v="6"/>
    <n v="0"/>
    <n v="0"/>
    <n v="0"/>
    <n v="50"/>
    <n v="0"/>
    <n v="50"/>
    <n v="0"/>
    <n v="50"/>
    <n v="0"/>
    <n v="2902.3900195956198"/>
    <n v="0"/>
    <s v="$0.00"/>
    <s v="$0.00"/>
    <s v="$0.00"/>
    <s v="0.00%"/>
    <n v="-1.72271816201209E-2"/>
    <n v="90"/>
    <n v="90"/>
    <n v="0"/>
    <n v="0"/>
    <n v="0"/>
    <n v="0"/>
    <n v="0"/>
    <n v="0"/>
    <n v="90"/>
    <n v="1"/>
    <n v="0"/>
    <n v="0"/>
    <s v="0.00%"/>
    <n v="0"/>
    <s v="0.00%"/>
    <n v="0"/>
    <n v="0"/>
    <n v="0"/>
    <s v="0.00%"/>
    <s v="0.00"/>
    <s v="0.00"/>
    <s v="0.00"/>
    <n v="0"/>
  </r>
  <r>
    <x v="10"/>
    <x v="0"/>
    <x v="14"/>
    <n v="0"/>
    <n v="0"/>
    <n v="0"/>
    <n v="0"/>
    <n v="0"/>
    <n v="0"/>
    <n v="0"/>
    <n v="0"/>
    <n v="0"/>
    <n v="3684.7299926876999"/>
    <n v="0"/>
    <s v="$0.00"/>
    <s v="$0.00"/>
    <s v="$0.00"/>
    <s v="0.00%"/>
    <n v="0"/>
    <n v="276"/>
    <n v="276"/>
    <n v="0"/>
    <n v="0"/>
    <n v="0"/>
    <n v="0"/>
    <n v="0"/>
    <n v="0"/>
    <n v="30"/>
    <n v="0.10869565217391304"/>
    <n v="0"/>
    <n v="0"/>
    <s v="0.00%"/>
    <n v="0"/>
    <s v="0.00%"/>
    <n v="0"/>
    <n v="0"/>
    <n v="0"/>
    <s v="0.00%"/>
    <s v="0.00"/>
    <s v="0.00"/>
    <s v="0.00"/>
    <n v="0"/>
  </r>
  <r>
    <x v="10"/>
    <x v="1"/>
    <x v="17"/>
    <n v="363895.30034330301"/>
    <n v="19237.190002441399"/>
    <n v="344658.11034086201"/>
    <n v="260945.81157267099"/>
    <n v="168605.41155540899"/>
    <n v="92340.400017261505"/>
    <n v="42423.970620036103"/>
    <n v="218521.8409526344"/>
    <n v="161703.23958542899"/>
    <n v="18348.749980786801"/>
    <n v="1684"/>
    <n v="216.0898458095626"/>
    <n v="109.17061210040833"/>
    <n v="154.9559451144124"/>
    <n v="0.71709035903044349"/>
    <n v="1.8451918336125757"/>
    <n v="410111.2"/>
    <n v="310980.66000000003"/>
    <n v="11995.84"/>
    <n v="3.8574231593694601E-2"/>
    <n v="7951.16"/>
    <n v="2.5568020853772706E-2"/>
    <n v="7451.14"/>
    <n v="2.3960139514785258E-2"/>
    <n v="19404.39"/>
    <n v="6.2397417254179077E-2"/>
    <n v="99130.54"/>
    <n v="6755.36"/>
    <n v="6.8146103108083542E-2"/>
    <n v="6648.46"/>
    <n v="6.7067727059693216E-2"/>
    <n v="7496.66"/>
    <n v="7.5624121486678075E-2"/>
    <n v="33571.72"/>
    <n v="0.33866172826255164"/>
    <n v="22.646304171745737"/>
    <n v="17.956124497942948"/>
    <n v="125.40375538317097"/>
    <n v="0.23076156777591872"/>
  </r>
  <r>
    <x v="10"/>
    <x v="1"/>
    <x v="53"/>
    <n v="140161.99011135101"/>
    <n v="5725"/>
    <n v="134436.99011135101"/>
    <n v="102423.440223096"/>
    <n v="70501.020186303198"/>
    <n v="31922.420036792799"/>
    <n v="11858.070138216"/>
    <n v="90565.370084879993"/>
    <n v="63208.399950305"/>
    <n v="1157.26999855042"/>
    <n v="654"/>
    <n v="214.31496958922173"/>
    <n v="115.8965140099321"/>
    <n v="156.61076486711926"/>
    <n v="0.73075047052147446"/>
    <n v="1.6019118475122829"/>
    <n v="145005.21"/>
    <n v="118843.64"/>
    <n v="4175.37"/>
    <n v="3.5133306250128317E-2"/>
    <n v="2460.84"/>
    <n v="2.0706535074152897E-2"/>
    <n v="3204.39"/>
    <n v="2.6963075180127433E-2"/>
    <n v="5628.59"/>
    <n v="4.7361305998368949E-2"/>
    <n v="26161.57"/>
    <n v="2218.1799999999998"/>
    <n v="8.4787724895715358E-2"/>
    <n v="1818.39"/>
    <n v="6.9506149669152126E-2"/>
    <n v="1579.64"/>
    <n v="6.0380168315586569E-2"/>
    <n v="9392.31"/>
    <n v="0.35901171068861693"/>
    <n v="31.036633373598928"/>
    <n v="26.520299190326543"/>
    <n v="137.0911965065502"/>
    <n v="0.15644651498640211"/>
  </r>
  <r>
    <x v="10"/>
    <x v="1"/>
    <x v="54"/>
    <n v="147652.09014451501"/>
    <n v="4341"/>
    <n v="143311.09014451501"/>
    <n v="89645.720506247104"/>
    <n v="65657.930497463807"/>
    <n v="23987.7900087833"/>
    <n v="13160.700201273001"/>
    <n v="76485.02030497411"/>
    <n v="65354.7397515513"/>
    <n v="318.43000411987299"/>
    <n v="617"/>
    <n v="239.30646700893843"/>
    <n v="132.8669698360516"/>
    <n v="145.29290195501963"/>
    <n v="0.60714156107445572"/>
    <n v="1.3026451463276565"/>
    <n v="179288.32000000001"/>
    <n v="148690.36000000002"/>
    <n v="8833.44"/>
    <n v="5.9408289817846967E-2"/>
    <n v="5224.29"/>
    <n v="3.5135364525312865E-2"/>
    <n v="4034.35"/>
    <n v="2.7132559232488238E-2"/>
    <n v="6578.33"/>
    <n v="4.4241805588472578E-2"/>
    <n v="30597.96"/>
    <n v="2678.8"/>
    <n v="8.7548320214811709E-2"/>
    <n v="2760.87"/>
    <n v="9.0230525172266388E-2"/>
    <n v="2181"/>
    <n v="7.1279261754705212E-2"/>
    <n v="11868.44"/>
    <n v="0.38788337523155142"/>
    <n v="36.427859536127315"/>
    <n v="31.126068439656812"/>
    <n v="211.45791292328957"/>
    <n v="0.16053761306990796"/>
  </r>
  <r>
    <x v="10"/>
    <x v="4"/>
    <x v="41"/>
    <n v="0"/>
    <n v="0"/>
    <n v="0"/>
    <n v="0"/>
    <n v="0"/>
    <n v="0"/>
    <n v="0"/>
    <n v="0"/>
    <n v="0"/>
    <n v="0"/>
    <n v="0"/>
    <s v="$0.00"/>
    <s v="$0.00"/>
    <s v="$0.00"/>
    <s v="0.00%"/>
    <s v="0.00%"/>
    <n v="0"/>
    <n v="0"/>
    <n v="0"/>
    <s v="0.00%"/>
    <n v="0"/>
    <s v="0.00%"/>
    <n v="0"/>
    <n v="0"/>
    <n v="0"/>
    <s v="0.00%"/>
    <n v="0"/>
    <n v="0"/>
    <s v="0.00%"/>
    <n v="0"/>
    <s v="0.00%"/>
    <n v="0"/>
    <n v="0"/>
    <n v="0"/>
    <s v="0.00%"/>
    <s v="0.00"/>
    <s v="0.00"/>
    <s v="0.00"/>
    <s v="0.00%"/>
  </r>
  <r>
    <x v="11"/>
    <x v="0"/>
    <x v="1"/>
    <n v="157677.25000238401"/>
    <n v="11003"/>
    <n v="146674.25000238401"/>
    <n v="112279.10000311599"/>
    <n v="62904.779963715002"/>
    <n v="49374.320039400802"/>
    <n v="8250.9500031322204"/>
    <n v="104028.14999998358"/>
    <n v="66448.710080282806"/>
    <n v="6335.5500004664109"/>
    <n v="794"/>
    <n v="198.58595718184384"/>
    <n v="106.91812332699597"/>
    <n v="141.40944584775289"/>
    <n v="0.7120818000150192"/>
    <n v="1.4649805788377757"/>
    <n v="144743.26"/>
    <n v="104068.23"/>
    <n v="900.42"/>
    <n v="8.6522082675952114E-3"/>
    <n v="-5.62"/>
    <n v="0"/>
    <n v="657.68"/>
    <n v="6.3197000660047738E-3"/>
    <n v="3802.94"/>
    <n v="3.6542756612656907E-2"/>
    <n v="40675.03"/>
    <n v="4042.32"/>
    <n v="9.9380873228612249E-2"/>
    <n v="1117.01"/>
    <n v="2.7461811337324154E-2"/>
    <n v="2096.19"/>
    <n v="5.1535057257486964E-2"/>
    <n v="19801.419999999998"/>
    <n v="0.48682004659861344"/>
    <n v="27.004981646547048"/>
    <n v="20.564246021701273"/>
    <n v="135.93081207530355"/>
    <n v="9.7192359589981681E-2"/>
  </r>
  <r>
    <x v="11"/>
    <x v="0"/>
    <x v="3"/>
    <n v="188528.510009363"/>
    <n v="13463"/>
    <n v="175065.510009363"/>
    <n v="134840.61995207099"/>
    <n v="71675.009881842896"/>
    <n v="63165.610070228598"/>
    <n v="8850.8499716520291"/>
    <n v="125989.76998041946"/>
    <n v="83640.160134902195"/>
    <n v="6370.4200029373196"/>
    <n v="849"/>
    <n v="222.05949353281861"/>
    <n v="116.03996451298408"/>
    <n v="158.82287391292283"/>
    <n v="0.71522667815798691"/>
    <n v="1.5037918052271131"/>
    <n v="172117.19"/>
    <n v="135816.95999999999"/>
    <n v="7169.62"/>
    <n v="5.2788841688107289E-2"/>
    <n v="2046.89"/>
    <n v="1.5070945484275308E-2"/>
    <n v="1759.35"/>
    <n v="1.2953831391896859E-2"/>
    <n v="8332.06"/>
    <n v="6.1347713864306784E-2"/>
    <n v="36300.229999999996"/>
    <n v="4473.5600000000004"/>
    <n v="0.12323778664763284"/>
    <n v="2705.16"/>
    <n v="7.4521841872627254E-2"/>
    <n v="1775.33"/>
    <n v="4.890685265630549E-2"/>
    <n v="16873.419999999998"/>
    <n v="0.46482956168597278"/>
    <n v="26.356203538324742"/>
    <n v="22.377157659566382"/>
    <n v="78.746160335518695"/>
    <n v="8.9839991392372517E-2"/>
  </r>
  <r>
    <x v="11"/>
    <x v="0"/>
    <x v="8"/>
    <n v="226613.33000528099"/>
    <n v="12553"/>
    <n v="214060.33000528099"/>
    <n v="144570.569868989"/>
    <n v="85427.609828323097"/>
    <n v="59142.960040666199"/>
    <n v="7445.4900377988797"/>
    <n v="137125.07983119041"/>
    <n v="96263.050117898703"/>
    <n v="7058.1199972033501"/>
    <n v="989"/>
    <n v="229.13380182535997"/>
    <n v="124.66345792738012"/>
    <n v="146.17853374013072"/>
    <n v="0.637961455602017"/>
    <n v="1.2479475677048917"/>
    <n v="256810.09000000003"/>
    <n v="205976.30000000002"/>
    <n v="4075.4"/>
    <n v="1.978577146982444E-2"/>
    <n v="2527.5700000000002"/>
    <n v="1.227116906168331E-2"/>
    <n v="3724.21"/>
    <n v="1.8080769486586563E-2"/>
    <n v="13017.26"/>
    <n v="6.3197853345263511E-2"/>
    <n v="50833.790000000008"/>
    <n v="3766.07"/>
    <n v="7.4085957391727034E-2"/>
    <n v="3844.54"/>
    <n v="7.5629615655256069E-2"/>
    <n v="1985.88"/>
    <n v="3.9066140848439589E-2"/>
    <n v="28860.99"/>
    <n v="0.56775207986656118"/>
    <n v="34.576362107307951"/>
    <n v="29.203112268069056"/>
    <n v="135.88289227479285"/>
    <n v="6.0388998330720006E-2"/>
  </r>
  <r>
    <x v="11"/>
    <x v="0"/>
    <x v="5"/>
    <n v="299462.56000817899"/>
    <n v="18387"/>
    <n v="281075.56000817899"/>
    <n v="196207.59011168801"/>
    <n v="109184.220034793"/>
    <n v="87023.370076894804"/>
    <n v="12706.729983219901"/>
    <n v="183500.8601284679"/>
    <n v="122916.300026417"/>
    <n v="10632.2300165296"/>
    <n v="1303"/>
    <n v="229.82544897020645"/>
    <n v="127.33233305083068"/>
    <n v="150.58141988617638"/>
    <n v="0.65519906764414537"/>
    <n v="1.280667371167848"/>
    <n v="305214.87"/>
    <n v="232653.08"/>
    <n v="7246.65"/>
    <n v="3.1147879065258881E-2"/>
    <n v="5125.21"/>
    <n v="2.2029409625696768E-2"/>
    <n v="2704.83"/>
    <n v="1.1626022745970094E-2"/>
    <n v="7021.19"/>
    <n v="3.017879668732518E-2"/>
    <n v="72561.790000000008"/>
    <n v="7892.43"/>
    <n v="0.10876840276404426"/>
    <n v="4683.8999999999996"/>
    <n v="6.4550502406293994E-2"/>
    <n v="4197.22"/>
    <n v="5.7843391129132837E-2"/>
    <n v="37694.75"/>
    <n v="0.51948484181550647"/>
    <n v="28.75106118178029"/>
    <n v="23.17915930569044"/>
    <n v="125.40683821411427"/>
    <n v="7.6586229542387835E-2"/>
  </r>
  <r>
    <x v="11"/>
    <x v="0"/>
    <x v="10"/>
    <n v="202527.98000179001"/>
    <n v="8920"/>
    <n v="193607.98000179001"/>
    <n v="123897.499971937"/>
    <n v="78108.329944204495"/>
    <n v="45789.170027732798"/>
    <n v="11061.140012145001"/>
    <n v="112836.3599597923"/>
    <n v="86230.120077133193"/>
    <n v="10005.2799764872"/>
    <n v="1010"/>
    <n v="200.52275247701982"/>
    <n v="105.24017816650456"/>
    <n v="122.67079205142306"/>
    <n v="0.61175497810644364"/>
    <n v="1.3010146654841113"/>
    <n v="260667.41000000003"/>
    <n v="192166.18000000002"/>
    <n v="7748.64"/>
    <n v="4.0322599949689376E-2"/>
    <n v="3442.7"/>
    <n v="1.7915223167781134E-2"/>
    <n v="2310.89"/>
    <n v="1.2025477115692259E-2"/>
    <n v="11188.41"/>
    <n v="5.8222575897590299E-2"/>
    <n v="68501.23"/>
    <n v="6840.02"/>
    <n v="9.9852513597201112E-2"/>
    <n v="6040.21"/>
    <n v="8.8176664856966805E-2"/>
    <n v="2651.33"/>
    <n v="3.8704852453014346E-2"/>
    <n v="39783.919999999998"/>
    <n v="0.58077672473910325"/>
    <n v="37.459656376133189"/>
    <n v="28.994737093725714"/>
    <n v="206.95583007435505"/>
    <n v="0.10406314361302203"/>
  </r>
  <r>
    <x v="11"/>
    <x v="0"/>
    <x v="13"/>
    <n v="160723.53000551101"/>
    <n v="8990"/>
    <n v="151733.53000551101"/>
    <n v="111889.729939729"/>
    <n v="68267.119920522004"/>
    <n v="43622.610019207001"/>
    <n v="9091.9799809306896"/>
    <n v="102797.74995879832"/>
    <n v="75381.029976010293"/>
    <n v="4547.5699930787096"/>
    <n v="724"/>
    <n v="221.99382597446274"/>
    <n v="111.59520723262709"/>
    <n v="154.5438258836036"/>
    <n v="0.6961627207658545"/>
    <n v="1.56046201520491"/>
    <n v="170032.36"/>
    <n v="114786.61"/>
    <n v="4640.99"/>
    <n v="4.0431457989742875E-2"/>
    <n v="4366.92"/>
    <n v="3.8043810162178324E-2"/>
    <n v="299.66000000000003"/>
    <n v="2.6105832378881129E-3"/>
    <n v="8739.4500000000007"/>
    <n v="7.6136493620640955E-2"/>
    <n v="55245.75"/>
    <n v="5915.47"/>
    <n v="0.10707556689881123"/>
    <n v="3773.88"/>
    <n v="6.8310775036993801E-2"/>
    <n v="2570.6999999999998"/>
    <n v="4.6532086178574822E-2"/>
    <n v="26034.59"/>
    <n v="0.47125054868474048"/>
    <n v="27.579475950238031"/>
    <n v="19.740009304011604"/>
    <n v="157.72983218602292"/>
    <n v="0.11253156574096994"/>
  </r>
  <r>
    <x v="11"/>
    <x v="0"/>
    <x v="12"/>
    <n v="226642.160005663"/>
    <n v="14102"/>
    <n v="212540.160005663"/>
    <n v="127803.389983058"/>
    <n v="70485.009920954704"/>
    <n v="57318.380062103301"/>
    <n v="10770.680020809201"/>
    <n v="117032.7099622488"/>
    <n v="84983.599996566802"/>
    <n v="12158.389977840699"/>
    <n v="1085"/>
    <n v="208.8867834153576"/>
    <n v="119.35499542051197"/>
    <n v="117.79114284152811"/>
    <n v="0.56389945268728747"/>
    <n v="1.0764249890386404"/>
    <n v="271325.13"/>
    <n v="198911.96000000002"/>
    <n v="7672.03"/>
    <n v="3.8569978396472485E-2"/>
    <n v="5689.45"/>
    <n v="2.8602855253148173E-2"/>
    <n v="2351.09"/>
    <n v="1.1819751813817529E-2"/>
    <n v="4999.1899999999996"/>
    <n v="2.5132676788263506E-2"/>
    <n v="72413.17"/>
    <n v="6080.23"/>
    <n v="8.3965803458127847E-2"/>
    <n v="3927.05"/>
    <n v="5.423115712238534E-2"/>
    <n v="2944"/>
    <n v="4.0655587926892306E-2"/>
    <n v="45382.7"/>
    <n v="0.62671886895712481"/>
    <n v="35.734918873170692"/>
    <n v="28.465898167224445"/>
    <n v="119.69338830832521"/>
    <n v="8.3171165089664711E-2"/>
  </r>
  <r>
    <x v="11"/>
    <x v="0"/>
    <x v="16"/>
    <n v="89785.840001583099"/>
    <n v="5846"/>
    <n v="83939.840001583099"/>
    <n v="81330.159993261099"/>
    <n v="51364.739957898899"/>
    <n v="29965.4200353622"/>
    <n v="9371.7499998696094"/>
    <n v="71958.409993391484"/>
    <n v="59903.349974721699"/>
    <n v="2628.48998939991"/>
    <n v="409"/>
    <n v="219.52528117746479"/>
    <n v="66.635696913108774"/>
    <n v="198.85124692728874"/>
    <n v="0.90582390265354862"/>
    <n v="4.5480943294210556"/>
    <n v="74762.200000000012"/>
    <n v="46394.840000000004"/>
    <n v="2751.83"/>
    <n v="5.9313277079951127E-2"/>
    <n v="1638.96"/>
    <n v="3.5326342326000043E-2"/>
    <n v="1453.71"/>
    <n v="3.1333441391327134E-2"/>
    <n v="2459.19"/>
    <n v="5.3005679079828699E-2"/>
    <n v="28367.360000000001"/>
    <n v="3240.39"/>
    <n v="0.11422952294468007"/>
    <n v="1883.75"/>
    <n v="6.64055449643534E-2"/>
    <n v="2050.63"/>
    <n v="7.2288362399602929E-2"/>
    <n v="11382.96"/>
    <n v="0.40126962819240136"/>
    <n v="14.559184141269885"/>
    <n v="9.5828932935311073"/>
    <n v="96.608799927252875"/>
    <n v="0.34386695483187207"/>
  </r>
  <r>
    <x v="11"/>
    <x v="2"/>
    <x v="19"/>
    <n v="117094.289998779"/>
    <n v="8497"/>
    <n v="108597.289998779"/>
    <n v="66278.3805455416"/>
    <n v="38866.660413667603"/>
    <n v="27411.720131874099"/>
    <n v="6818.3200421333304"/>
    <n v="59460.060503408371"/>
    <n v="43535.179543256803"/>
    <n v="4095.4299909770498"/>
    <n v="752"/>
    <n v="155.71049201965292"/>
    <n v="92.371915511363227"/>
    <n v="88.136144342475674"/>
    <n v="0.56602572632903636"/>
    <n v="1.057993442748717"/>
    <n v="123766.76999999999"/>
    <n v="97862.03"/>
    <n v="6843.38"/>
    <n v="6.9928858005500194E-2"/>
    <n v="1754.83"/>
    <n v="1.7931673806480409E-2"/>
    <n v="1802.73"/>
    <n v="1.8421138412926853E-2"/>
    <n v="2911.98"/>
    <n v="2.9755973792900067E-2"/>
    <n v="25904.739999999998"/>
    <n v="2564.56"/>
    <n v="9.8999642536462443E-2"/>
    <n v="1922.4"/>
    <n v="7.421035686905178E-2"/>
    <n v="1301.45"/>
    <n v="5.0239840276335532E-2"/>
    <n v="11237.9"/>
    <n v="0.4338163594770687"/>
    <n v="33.086514792951363"/>
    <n v="27.951163563888752"/>
    <n v="108.1517186992624"/>
    <n v="9.815661935179866E-2"/>
  </r>
  <r>
    <x v="11"/>
    <x v="2"/>
    <x v="21"/>
    <n v="165372"/>
    <n v="11909"/>
    <n v="153463"/>
    <n v="111670.57086464801"/>
    <n v="61417.060690552004"/>
    <n v="50253.510174095602"/>
    <n v="13678.300062129299"/>
    <n v="97992.270802518295"/>
    <n v="70847.249123573303"/>
    <n v="5682.5599958896601"/>
    <n v="781"/>
    <n v="211.74391805377721"/>
    <n v="113.75440573692322"/>
    <n v="142.98408561414544"/>
    <n v="0.67526891411271317"/>
    <n v="1.4856943892704839"/>
    <n v="134717.68"/>
    <n v="99526.589999999982"/>
    <n v="4014.65"/>
    <n v="4.0337461576850982E-2"/>
    <n v="1855.54"/>
    <n v="1.8643660955328625E-2"/>
    <n v="1464.02"/>
    <n v="1.470983784333413E-2"/>
    <n v="6721.54"/>
    <n v="6.7535118002133909E-2"/>
    <n v="35191.089999999997"/>
    <n v="2622.35"/>
    <n v="7.4517441772903315E-2"/>
    <n v="2544.63"/>
    <n v="7.2308928197449995E-2"/>
    <n v="2241.5700000000002"/>
    <n v="6.3697089234803481E-2"/>
    <n v="17809.89"/>
    <n v="0.50609088834702198"/>
    <n v="21.608651436478535"/>
    <n v="17.214237980732797"/>
    <n v="77.720745503177824"/>
    <n v="0.15396175990889316"/>
  </r>
  <r>
    <x v="11"/>
    <x v="2"/>
    <x v="23"/>
    <n v="138590.51"/>
    <n v="4984"/>
    <n v="133606.51"/>
    <n v="87662.600690960899"/>
    <n v="55252.870526313804"/>
    <n v="32409.730164647099"/>
    <n v="9847.9300613384694"/>
    <n v="77814.670629622429"/>
    <n v="61436.399304389997"/>
    <n v="5815.7099964618701"/>
    <n v="628"/>
    <n v="220.68552547770702"/>
    <n v="113.59617945724227"/>
    <n v="139.59012848879124"/>
    <n v="0.63252960603839969"/>
    <n v="1.4256290410803643"/>
    <n v="120772.03"/>
    <n v="89013.409999999989"/>
    <n v="2234.6999999999998"/>
    <n v="2.5105206058278186E-2"/>
    <n v="1257.28"/>
    <n v="1.4124613358818634E-2"/>
    <n v="3264.57"/>
    <n v="3.6675035817636925E-2"/>
    <n v="4822.5"/>
    <n v="5.4177230149929104E-2"/>
    <n v="31758.620000000003"/>
    <n v="2585.5300000000002"/>
    <n v="8.1411912734243488E-2"/>
    <n v="1371.7"/>
    <n v="4.3191423304916897E-2"/>
    <n v="1197.72"/>
    <n v="3.7713225574662876E-2"/>
    <n v="14066.57"/>
    <n v="0.44292132340762913"/>
    <n v="25.692920944111126"/>
    <n v="19.790990452692373"/>
    <n v="156.50636806658272"/>
    <n v="0.13804528787895948"/>
  </r>
  <r>
    <x v="11"/>
    <x v="2"/>
    <x v="24"/>
    <n v="79598.5"/>
    <n v="7396"/>
    <n v="72202.5"/>
    <n v="59087.250493571199"/>
    <n v="31873.520337387901"/>
    <n v="27213.730156183199"/>
    <n v="5649.12002444267"/>
    <n v="53438.130469128431"/>
    <n v="39269.959601893999"/>
    <n v="1656.0400037765501"/>
    <n v="396"/>
    <n v="201.00631313131314"/>
    <n v="97.657829278609725"/>
    <n v="149.21022851911894"/>
    <n v="0.74231613024832255"/>
    <n v="1.7892550620726684"/>
    <n v="69613.06"/>
    <n v="46196.77"/>
    <n v="1273.6400000000001"/>
    <n v="2.7569892873462804E-2"/>
    <n v="2437.31"/>
    <n v="5.275931628986183E-2"/>
    <n v="2440.75"/>
    <n v="5.2833780370359233E-2"/>
    <n v="3654.49"/>
    <n v="7.9107045795625969E-2"/>
    <n v="23416.29"/>
    <n v="3738.99"/>
    <n v="0.15967473925203352"/>
    <n v="1456.74"/>
    <n v="6.2210538048512377E-2"/>
    <n v="685.45"/>
    <n v="2.9272356978838236E-2"/>
    <n v="10011.61"/>
    <n v="0.42754894135663679"/>
    <n v="21.73844240300506"/>
    <n v="15.75366136240482"/>
    <n v="86.773421995306137"/>
    <n v="0.14607589286548953"/>
  </r>
  <r>
    <x v="11"/>
    <x v="2"/>
    <x v="26"/>
    <n v="102674.919998169"/>
    <n v="7716"/>
    <n v="94958.919998168902"/>
    <n v="72524.000627934904"/>
    <n v="40304.430442392797"/>
    <n v="32219.570185542099"/>
    <n v="7109.9700624942798"/>
    <n v="65414.030565440626"/>
    <n v="46629.529438018799"/>
    <n v="2237.80999994278"/>
    <n v="478"/>
    <n v="214.80108786227802"/>
    <n v="112.56816016779774"/>
    <n v="151.72385068605629"/>
    <n v="0.70634582066612073"/>
    <n v="1.5530559241673976"/>
    <n v="68487.259999999995"/>
    <n v="52701.46"/>
    <n v="3080.36"/>
    <n v="5.8449234613234625E-2"/>
    <n v="1030.3"/>
    <n v="1.9549743024197052E-2"/>
    <n v="788.95"/>
    <n v="1.4970173501834674E-2"/>
    <n v="1690.85"/>
    <n v="3.2083551385483439E-2"/>
    <n v="15785.8"/>
    <n v="2774.42"/>
    <n v="0.17575415880094769"/>
    <n v="609.74"/>
    <n v="3.8625853615274493E-2"/>
    <n v="645.86"/>
    <n v="4.0913985987406407E-2"/>
    <n v="6921.8"/>
    <n v="0.43848268697183546"/>
    <n v="19.631986413590454"/>
    <n v="16.148648292182443"/>
    <n v="70.148718708339501"/>
    <n v="0.13213695892790894"/>
  </r>
  <r>
    <x v="11"/>
    <x v="2"/>
    <x v="25"/>
    <n v="82639.5"/>
    <n v="5302"/>
    <n v="77337.5"/>
    <n v="59694.660509467103"/>
    <n v="37784.940421938903"/>
    <n v="21909.7200875282"/>
    <n v="7768.3900820612898"/>
    <n v="51926.270427405812"/>
    <n v="39719.499510765098"/>
    <n v="1002.5000048056201"/>
    <n v="408"/>
    <n v="202.54779411764707"/>
    <n v="102.73897177556198"/>
    <n v="146.31044242516447"/>
    <n v="0.72235021399533039"/>
    <n v="1.7480590213362543"/>
    <n v="59889.959999999992"/>
    <n v="44143.329999999994"/>
    <n v="1358.58"/>
    <n v="3.0776563526131808E-2"/>
    <n v="2211.67"/>
    <n v="5.0102019942763726E-2"/>
    <n v="731.89"/>
    <n v="1.6579854759484616E-2"/>
    <n v="4438.8900000000003"/>
    <n v="0.10055630148427862"/>
    <n v="15746.630000000001"/>
    <n v="1874.47"/>
    <n v="0.11903943891486622"/>
    <n v="1325.53"/>
    <n v="8.4178646478643357E-2"/>
    <n v="674.19"/>
    <n v="4.28148753098282E-2"/>
    <n v="8214.9500000000007"/>
    <n v="0.5216957533135661"/>
    <n v="21.095025126448014"/>
    <n v="16.583457322605184"/>
    <n v="88.880319849482603"/>
    <n v="0.18532569910619895"/>
  </r>
  <r>
    <x v="11"/>
    <x v="2"/>
    <x v="27"/>
    <n v="126342.5"/>
    <n v="7526"/>
    <n v="118816.5"/>
    <n v="87204.040728092194"/>
    <n v="53175.510559082002"/>
    <n v="34028.530169010199"/>
    <n v="7911.0300550144202"/>
    <n v="79293.010673077777"/>
    <n v="52507.3994445801"/>
    <n v="2431.9700122997201"/>
    <n v="656"/>
    <n v="192.5952743902439"/>
    <n v="108.84623558402465"/>
    <n v="132.93298891477468"/>
    <n v="0.69021936979315901"/>
    <n v="1.3734628411675951"/>
    <n v="95955.44"/>
    <n v="73127.539999999994"/>
    <n v="2220.98"/>
    <n v="3.0371321119239073E-2"/>
    <n v="2953.14"/>
    <n v="4.0383417793077685E-2"/>
    <n v="616.4"/>
    <n v="8.4291089239430187E-3"/>
    <n v="2192.17"/>
    <n v="2.9977351897793911E-2"/>
    <n v="22827.9"/>
    <n v="3387.68"/>
    <n v="0.14840086035071118"/>
    <n v="1496.85"/>
    <n v="6.5571077497273061E-2"/>
    <n v="1299.08"/>
    <n v="5.6907556104591306E-2"/>
    <n v="11134.91"/>
    <n v="0.48777636138234348"/>
    <n v="23.149187525800279"/>
    <n v="18.837162695913996"/>
    <n v="86.798098859315587"/>
    <n v="0.11079388249282668"/>
  </r>
  <r>
    <x v="11"/>
    <x v="3"/>
    <x v="28"/>
    <n v="123889.370004425"/>
    <n v="4968"/>
    <n v="118921.370004425"/>
    <n v="87285.240083813696"/>
    <n v="48366.290013313301"/>
    <n v="38918.950070500403"/>
    <n v="7575.7299845218704"/>
    <n v="79709.510099291831"/>
    <n v="57256.309968173497"/>
    <n v="3287.3899970054599"/>
    <n v="553"/>
    <n v="224.03141049624773"/>
    <n v="114.54913207820259"/>
    <n v="157.83949382244791"/>
    <n v="0.70454180274462697"/>
    <n v="1.5650947445553143"/>
    <n v="84555.01999999999"/>
    <n v="63442.409999999996"/>
    <n v="2421.48"/>
    <n v="3.8168159122580626E-2"/>
    <n v="1027.8499999999999"/>
    <n v="1.6201307611107458E-2"/>
    <n v="-1129.33"/>
    <n v="0"/>
    <n v="950.17"/>
    <n v="1.4976890064548306E-2"/>
    <n v="21112.61"/>
    <n v="2901.77"/>
    <n v="0.13744250474005817"/>
    <n v="1356.34"/>
    <n v="6.4243122948796944E-2"/>
    <n v="1204.9100000000001"/>
    <n v="5.7070632195640431E-2"/>
    <n v="10310.9"/>
    <n v="0.48837637790874738"/>
    <n v="20.43221962825422"/>
    <n v="16.041217248311504"/>
    <n v="115.14573385044237"/>
    <n v="0.11959349360150899"/>
  </r>
  <r>
    <x v="11"/>
    <x v="3"/>
    <x v="30"/>
    <n v="207780.680005817"/>
    <n v="8513"/>
    <n v="199267.680005817"/>
    <n v="128583.68997373201"/>
    <n v="75826.369844814806"/>
    <n v="52757.320128917701"/>
    <n v="8429.2800495624506"/>
    <n v="120154.40992417006"/>
    <n v="90876.349930155993"/>
    <n v="3237.8999710082999"/>
    <n v="807"/>
    <n v="257.47296159332961"/>
    <n v="140.85059492522021"/>
    <n v="159.33542747674414"/>
    <n v="0.61884333986265083"/>
    <n v="1.2218469419441771"/>
    <n v="175304.13"/>
    <n v="135562.28"/>
    <n v="1899.56"/>
    <n v="1.4012452431458072E-2"/>
    <n v="2799.9"/>
    <n v="2.0653975427382898E-2"/>
    <n v="756.65"/>
    <n v="5.5815673799525945E-3"/>
    <n v="2285.66"/>
    <n v="1.6860589833691202E-2"/>
    <n v="39741.850000000006"/>
    <n v="4673.51"/>
    <n v="0.11759668963573662"/>
    <n v="1957.89"/>
    <n v="4.9265195253869659E-2"/>
    <n v="2409.5"/>
    <n v="6.0628783008340063E-2"/>
    <n v="19118.41"/>
    <n v="0.48106492274516655"/>
    <n v="27.86674323163291"/>
    <n v="22.348784314263316"/>
    <n v="176.59556137059349"/>
    <n v="7.4158043336116128E-2"/>
  </r>
  <r>
    <x v="11"/>
    <x v="3"/>
    <x v="29"/>
    <n v="175001.07000068601"/>
    <n v="11459.0099999998"/>
    <n v="163542.060000686"/>
    <n v="113994.960195184"/>
    <n v="59388.980089783698"/>
    <n v="54605.9801054001"/>
    <n v="8272.5700175762195"/>
    <n v="105722.39017760758"/>
    <n v="75434.339908868104"/>
    <n v="3485.5099873542799"/>
    <n v="727"/>
    <n v="240.71674002845367"/>
    <n v="132.16123810792769"/>
    <n v="156.80187096999146"/>
    <n v="0.65139578972138323"/>
    <n v="1.298220164897024"/>
    <n v="125288.5"/>
    <n v="93726.680000000008"/>
    <n v="3616.96"/>
    <n v="3.859050592638083E-2"/>
    <n v="1516.32"/>
    <n v="1.6178104249505047E-2"/>
    <n v="415.62"/>
    <n v="4.4343830379994249E-3"/>
    <n v="414.38"/>
    <n v="4.4211530804249121E-3"/>
    <n v="31561.82"/>
    <n v="3343.32"/>
    <n v="0.10592925249557852"/>
    <n v="2183.15"/>
    <n v="6.9170599160631424E-2"/>
    <n v="896.93"/>
    <n v="2.8418196415796047E-2"/>
    <n v="17141.54"/>
    <n v="0.54310999809263216"/>
    <n v="22.125489510041344"/>
    <n v="17.651941406479207"/>
    <n v="89.429931231329078"/>
    <n v="8.6099760271382123E-2"/>
  </r>
  <r>
    <x v="11"/>
    <x v="3"/>
    <x v="32"/>
    <n v="88398.0800004005"/>
    <n v="3528"/>
    <n v="84870.0800004005"/>
    <n v="44998.090090304599"/>
    <n v="24833.280082970901"/>
    <n v="20164.810007333799"/>
    <n v="2818.8000006675702"/>
    <n v="42179.290089637128"/>
    <n v="33637.959854125998"/>
    <n v="45"/>
    <n v="342"/>
    <n v="258.47391812982602"/>
    <n v="159.98573142185526"/>
    <n v="131.57336283714824"/>
    <n v="0.50903922449560934"/>
    <n v="0.8670767014703995"/>
    <n v="72336.400000000009"/>
    <n v="67723.840000000011"/>
    <n v="996.66"/>
    <n v="1.4716531135859984E-2"/>
    <n v="805.89"/>
    <n v="1.1899650108440393E-2"/>
    <n v="835.06"/>
    <n v="1.2330369925863623E-2"/>
    <n v="-1497.52"/>
    <n v="0"/>
    <n v="4612.5600000000004"/>
    <n v="586.22"/>
    <n v="0.12709211370692197"/>
    <n v="550.53"/>
    <n v="0.11935454498152868"/>
    <n v="487.9"/>
    <n v="0.1057764018245833"/>
    <n v="1603.49"/>
    <n v="0.34763558631215635"/>
    <n v="30.887813337805021"/>
    <n v="30.326571307310829"/>
    <n v="42.41217817736004"/>
    <n v="5.1517752188642497E-2"/>
  </r>
  <r>
    <x v="11"/>
    <x v="3"/>
    <x v="31"/>
    <n v="207967.750002174"/>
    <n v="10369"/>
    <n v="197598.750002174"/>
    <n v="143550.30032995201"/>
    <n v="83325.520221022904"/>
    <n v="60224.780108928702"/>
    <n v="10859.310122966799"/>
    <n v="132690.9902069848"/>
    <n v="84005.250143051104"/>
    <n v="5028.7400186155"/>
    <n v="1151"/>
    <n v="180.68440486722329"/>
    <n v="103.3308078544808"/>
    <n v="124.71789776711694"/>
    <n v="0.69025269700927661"/>
    <n v="1.3282538167451177"/>
    <n v="200498.98"/>
    <n v="145109.44"/>
    <n v="5259.24"/>
    <n v="3.6243265772371525E-2"/>
    <n v="2209.63"/>
    <n v="1.5227334624129209E-2"/>
    <n v="1087.45"/>
    <n v="7.4939990120560041E-3"/>
    <n v="2133"/>
    <n v="1.4699250441597735E-2"/>
    <n v="55389.54"/>
    <n v="5846.33"/>
    <n v="0.10554935101465006"/>
    <n v="5670.48"/>
    <n v="0.10237456386169662"/>
    <n v="2991.86"/>
    <n v="5.4014891620331205E-2"/>
    <n v="29342.84"/>
    <n v="0.52975417380249046"/>
    <n v="28.702357660714078"/>
    <n v="22.100509400088402"/>
    <n v="132.01606419321521"/>
    <n v="9.1305531226199832E-2"/>
  </r>
  <r>
    <x v="11"/>
    <x v="3"/>
    <x v="52"/>
    <n v="39968.109999179796"/>
    <n v="1945"/>
    <n v="38023.109999179796"/>
    <n v="16014.030057907101"/>
    <n v="5940.4000415802002"/>
    <n v="10073.630016326901"/>
    <n v="0"/>
    <n v="16014.030057907101"/>
    <n v="7891.5399627685501"/>
    <n v="0"/>
    <n v="166"/>
    <n v="240.77174698301081"/>
    <n v="193.23234961693521"/>
    <n v="96.470060589801818"/>
    <n v="0.40067018576149166"/>
    <n v="0.49924384183623782"/>
    <n v="32855.64"/>
    <n v="31932.05"/>
    <n v="0"/>
    <n v="0"/>
    <n v="0"/>
    <n v="0"/>
    <n v="0"/>
    <n v="0"/>
    <n v="0"/>
    <n v="0"/>
    <n v="923.59"/>
    <n v="0"/>
    <n v="0"/>
    <n v="0"/>
    <n v="0"/>
    <n v="0"/>
    <n v="0"/>
    <n v="0"/>
    <n v="0"/>
    <n v="36.199974659429216"/>
    <n v="37.805141785485645"/>
    <n v="14.667919534145051"/>
    <n v="0"/>
  </r>
  <r>
    <x v="11"/>
    <x v="3"/>
    <x v="33"/>
    <n v="124663.26000190699"/>
    <n v="7703"/>
    <n v="116960.26000190699"/>
    <n v="85763.970020890207"/>
    <n v="45670.029942154899"/>
    <n v="40093.940078735402"/>
    <n v="5336.9000139236496"/>
    <n v="80427.070006966649"/>
    <n v="56744.270065307603"/>
    <n v="3179.11000183225"/>
    <n v="506"/>
    <n v="246.37007905515216"/>
    <n v="127.94442674855166"/>
    <n v="169.49401189899268"/>
    <n v="0.68796508305316539"/>
    <n v="1.4437654497328876"/>
    <n v="86695.03"/>
    <n v="66008.77"/>
    <n v="1974.81"/>
    <n v="2.9917388250076466E-2"/>
    <n v="353.27"/>
    <n v="5.3518646082937153E-3"/>
    <n v="143.86000000000001"/>
    <n v="2.1794073726869932E-3"/>
    <n v="289.95999999999998"/>
    <n v="4.3927496300870316E-3"/>
    <n v="20686.260000000002"/>
    <n v="1271.22"/>
    <n v="6.145238433626958E-2"/>
    <n v="913.93"/>
    <n v="4.4180533358857514E-2"/>
    <n v="1284.8699999999999"/>
    <n v="6.2112242619013769E-2"/>
    <n v="9886.36"/>
    <n v="0.47791915986746758"/>
    <n v="22.764300938801703"/>
    <n v="18.494866394905319"/>
    <n v="86.428788622261408"/>
    <n v="8.2436050534866426E-2"/>
  </r>
  <r>
    <x v="11"/>
    <x v="3"/>
    <x v="34"/>
    <n v="116206.740004063"/>
    <n v="3941"/>
    <n v="112265.740004063"/>
    <n v="71082.950041182296"/>
    <n v="40958.959980376101"/>
    <n v="30123.9900608063"/>
    <n v="3585.7700212094901"/>
    <n v="67497.180019972904"/>
    <n v="43460.569916926303"/>
    <n v="804.44999790191696"/>
    <n v="540"/>
    <n v="215.19766667419074"/>
    <n v="133.22540757265702"/>
    <n v="131.63509266885629"/>
    <n v="0.61169386593838782"/>
    <n v="1.0398941126623695"/>
    <n v="87892.59"/>
    <n v="70937.88"/>
    <n v="3246.97"/>
    <n v="4.5772019124338079E-2"/>
    <n v="1969.69"/>
    <n v="2.7766406326211045E-2"/>
    <n v="266.77999999999997"/>
    <n v="3.7607551846770716E-3"/>
    <n v="-246.42"/>
    <n v="-3.4737435062902919E-3"/>
    <n v="16954.71"/>
    <n v="3039.51"/>
    <n v="0.17927230840279784"/>
    <n v="1518.46"/>
    <n v="8.9559774245622614E-2"/>
    <n v="989.51"/>
    <n v="5.8361953699001635E-2"/>
    <n v="6455.26"/>
    <n v="0.38073550063669626"/>
    <n v="25.35379913030301"/>
    <n v="21.197989480496204"/>
    <n v="141.05415973377703"/>
    <n v="4.9842706245580265E-2"/>
  </r>
  <r>
    <x v="11"/>
    <x v="3"/>
    <x v="50"/>
    <n v="53056.810001373298"/>
    <n v="2451"/>
    <n v="50605.810001373298"/>
    <n v="29339.429983317899"/>
    <n v="14951.089944064601"/>
    <n v="14388.3400392532"/>
    <n v="1086.16999864578"/>
    <n v="28253.259984672022"/>
    <n v="21746.220077514601"/>
    <n v="0"/>
    <n v="251"/>
    <n v="211.38171315288167"/>
    <n v="124.74338615083147"/>
    <n v="116.89015929608685"/>
    <n v="0.55298141713680848"/>
    <n v="0.97071937380155082"/>
    <n v="42907.37999999999"/>
    <n v="38463.109999999993"/>
    <n v="2484.88"/>
    <n v="6.4604240270742547E-2"/>
    <n v="1258.5"/>
    <n v="3.2719663074566779E-2"/>
    <n v="0"/>
    <n v="0"/>
    <n v="0"/>
    <n v="0"/>
    <n v="4444.2699999999995"/>
    <n v="988.35"/>
    <n v="0.22238747870853934"/>
    <n v="557.65"/>
    <n v="0.1254761749398664"/>
    <n v="0"/>
    <n v="0"/>
    <n v="0"/>
    <n v="0"/>
    <n v="14.7624384452178"/>
    <n v="14.172508726857998"/>
    <n v="23.075129802699895"/>
    <n v="3.4690179945096385E-2"/>
  </r>
  <r>
    <x v="11"/>
    <x v="3"/>
    <x v="35"/>
    <n v="108257.740005493"/>
    <n v="6359"/>
    <n v="101898.740005493"/>
    <n v="71209.6401239634"/>
    <n v="37156.390057682998"/>
    <n v="34053.250066280401"/>
    <n v="5024.4400076866104"/>
    <n v="66185.200116276785"/>
    <n v="49430.040056109399"/>
    <n v="19.5"/>
    <n v="552"/>
    <n v="196.11909421284963"/>
    <n v="106.53659411120218"/>
    <n v="129.00297123906412"/>
    <n v="0.6577787428441626"/>
    <n v="1.3239989208853473"/>
    <n v="72366.41"/>
    <n v="56301.06"/>
    <n v="1887.42"/>
    <n v="3.3523702750889596E-2"/>
    <n v="1340.28"/>
    <n v="2.3805590871646111E-2"/>
    <n v="-1294.75"/>
    <n v="0"/>
    <n v="-350.75"/>
    <n v="-6.2299004672380946E-3"/>
    <n v="16065.350000000002"/>
    <n v="1427.5"/>
    <n v="8.8855829471502321E-2"/>
    <n v="952.32"/>
    <n v="5.9277886880771347E-2"/>
    <n v="2226.4499999999998"/>
    <n v="0.13858708338131442"/>
    <n v="5537.29"/>
    <n v="0.34467285182084417"/>
    <n v="21.556355522702635"/>
    <n v="17.131402516710168"/>
    <n v="7.2207981422950844"/>
    <n v="8.5437745280609864E-2"/>
  </r>
  <r>
    <x v="11"/>
    <x v="3"/>
    <x v="36"/>
    <n v="99858.300003528595"/>
    <n v="6613"/>
    <n v="93245.300003528595"/>
    <n v="62056.880078829803"/>
    <n v="32500.560008086301"/>
    <n v="29556.320070743601"/>
    <n v="3219.89000198245"/>
    <n v="58836.990076847447"/>
    <n v="37233.8101300821"/>
    <n v="33.300000915303002"/>
    <n v="439"/>
    <n v="227.46765376657996"/>
    <n v="142.57674230644918"/>
    <n v="141.35963571487449"/>
    <n v="0.62144939455845993"/>
    <n v="1.0452336434293457"/>
    <n v="71084.950000000012"/>
    <n v="59935.090000000004"/>
    <n v="490.19"/>
    <n v="8.1786813033900511E-3"/>
    <n v="-107.83"/>
    <n v="0"/>
    <n v="-639.45000000000005"/>
    <n v="0"/>
    <n v="-732.77"/>
    <n v="0"/>
    <n v="11149.860000000002"/>
    <n v="1575.61"/>
    <n v="0.14131208822352923"/>
    <n v="1428.94"/>
    <n v="0.12815766296617176"/>
    <n v="834.54"/>
    <n v="7.4847576561499402E-2"/>
    <n v="1076.53"/>
    <n v="9.6550988084155298E-2"/>
    <n v="23.194775121278397"/>
    <n v="20.801429679846873"/>
    <n v="60.795310796074169"/>
    <n v="5.1443182475678306E-2"/>
  </r>
  <r>
    <x v="11"/>
    <x v="4"/>
    <x v="37"/>
    <n v="91440.290002822905"/>
    <n v="4143"/>
    <n v="87297.290002822905"/>
    <n v="58241.220070600502"/>
    <n v="31646.930030107502"/>
    <n v="26594.290040493001"/>
    <n v="2955.2499713897701"/>
    <n v="55285.970099210732"/>
    <n v="34171.090028762803"/>
    <n v="35"/>
    <n v="377"/>
    <n v="242.54718833640027"/>
    <n v="151.81485404259973"/>
    <n v="154.48599488222945"/>
    <n v="0.63693170777129537"/>
    <n v="1.0729982814283483"/>
    <n v="67807.01999999999"/>
    <n v="54517.789999999994"/>
    <n v="2249.87"/>
    <n v="4.1268547386091772E-2"/>
    <n v="1835.39"/>
    <n v="3.3665891445709743E-2"/>
    <n v="144.81"/>
    <n v="2.6561971789392054E-3"/>
    <n v="209.88"/>
    <n v="3.8497525303208368E-3"/>
    <n v="13289.23"/>
    <n v="1771.73"/>
    <n v="0.13332074168330296"/>
    <n v="731.31"/>
    <n v="5.503027639675135E-2"/>
    <n v="506.05"/>
    <n v="3.8079708154648541E-2"/>
    <n v="7699.54"/>
    <n v="0.57938195064725351"/>
    <n v="24.317859617636227"/>
    <n v="20.716710801186405"/>
    <n v="84.764755492558464"/>
    <n v="5.1634337035009831E-2"/>
  </r>
  <r>
    <x v="11"/>
    <x v="4"/>
    <x v="38"/>
    <n v="185759.19000412"/>
    <n v="9291"/>
    <n v="176468.19000412"/>
    <n v="131864.36010354001"/>
    <n v="76520.510001838207"/>
    <n v="55343.850101701901"/>
    <n v="7959.8499941769996"/>
    <n v="123904.51010936312"/>
    <n v="82439.379960656195"/>
    <n v="6484.1999930087504"/>
    <n v="841"/>
    <n v="220.87894174092747"/>
    <n v="115.14341266403693"/>
    <n v="156.7947206938646"/>
    <n v="0.70986722164656013"/>
    <n v="1.4836931917098739"/>
    <n v="168863.06"/>
    <n v="140137.63"/>
    <n v="9935.6200000000008"/>
    <n v="7.0899015489272937E-2"/>
    <n v="2191.5100000000002"/>
    <n v="1.5638269321380703E-2"/>
    <n v="-120.05"/>
    <n v="0"/>
    <n v="8393.56"/>
    <n v="5.9895118819977181E-2"/>
    <n v="28725.43"/>
    <n v="3874.14"/>
    <n v="0.13486795497926402"/>
    <n v="2466.71"/>
    <n v="8.5871995649847543E-2"/>
    <n v="1201.67"/>
    <n v="4.1832968209701303E-2"/>
    <n v="14761.96"/>
    <n v="0.51389866052483801"/>
    <n v="25.794165830866955"/>
    <n v="22.523147931488371"/>
    <n v="88.488797234392123"/>
    <n v="8.2199616339790837E-2"/>
  </r>
  <r>
    <x v="11"/>
    <x v="4"/>
    <x v="40"/>
    <n v="236006.73000553099"/>
    <n v="9747"/>
    <n v="226259.73000553099"/>
    <n v="160828.21002879701"/>
    <n v="102914.549986035"/>
    <n v="57913.6600427628"/>
    <n v="9541.6699776649493"/>
    <n v="151286.54005113285"/>
    <n v="104116.78010392201"/>
    <n v="5482.1299985740297"/>
    <n v="1046"/>
    <n v="225.62784895366252"/>
    <n v="120.84877619793016"/>
    <n v="153.75545891854475"/>
    <n v="0.68145603316070125"/>
    <n v="1.3761744536934064"/>
    <n v="189825.02999999997"/>
    <n v="151474.90999999997"/>
    <n v="6688.85"/>
    <n v="4.4158138136540244E-2"/>
    <n v="2892.05"/>
    <n v="1.9092600880238189E-2"/>
    <n v="2108.8000000000002"/>
    <n v="1.3921777540584117E-2"/>
    <n v="201.89"/>
    <n v="1.332827991117473E-3"/>
    <n v="38350.119999999995"/>
    <n v="3713.57"/>
    <n v="9.6833334550191774E-2"/>
    <n v="3208.6"/>
    <n v="8.366597027597307E-2"/>
    <n v="2105.44"/>
    <n v="5.4900480102800207E-2"/>
    <n v="18905.169999999998"/>
    <n v="0.49296247312915842"/>
    <n v="24.352379679291175"/>
    <n v="20.387711382806817"/>
    <n v="105.0080866469926"/>
    <n v="7.548322552342239E-2"/>
  </r>
  <r>
    <x v="11"/>
    <x v="4"/>
    <x v="42"/>
    <n v="243589.14001071599"/>
    <n v="7920"/>
    <n v="235669.14001071599"/>
    <n v="159055.14009171401"/>
    <n v="107139.13003652899"/>
    <n v="51916.010055184401"/>
    <n v="8312.6800362169706"/>
    <n v="150742.46005549643"/>
    <n v="102705.53010692399"/>
    <n v="7960.6899908184996"/>
    <n v="1057"/>
    <n v="230.45330180767832"/>
    <n v="125.7548911191802"/>
    <n v="150.4778998029455"/>
    <n v="0.65296482464167427"/>
    <n v="1.2764211051116185"/>
    <n v="250489.46"/>
    <n v="196912.41"/>
    <n v="8054.31"/>
    <n v="4.0903008601641713E-2"/>
    <n v="6325.01"/>
    <n v="3.2120931331854605E-2"/>
    <n v="2365.54"/>
    <n v="1.2013158540896431E-2"/>
    <n v="7401.94"/>
    <n v="3.7590012737135255E-2"/>
    <n v="53577.049999999996"/>
    <n v="4780.1899999999996"/>
    <n v="8.9220851092025405E-2"/>
    <n v="2252.91"/>
    <n v="4.2049907563033055E-2"/>
    <n v="4447.93"/>
    <n v="8.3019315173194511E-2"/>
    <n v="34131.449999999997"/>
    <n v="0.63705355184729284"/>
    <n v="31.268920381428643"/>
    <n v="25.486828945089734"/>
    <n v="188.14368488821256"/>
    <n v="6.2537597290665894E-2"/>
  </r>
  <r>
    <x v="11"/>
    <x v="4"/>
    <x v="44"/>
    <n v="186314.45000299299"/>
    <n v="9429"/>
    <n v="176885.45000299299"/>
    <n v="131449.75991637999"/>
    <n v="75899.469827726498"/>
    <n v="55550.290088653601"/>
    <n v="6499.1900075674102"/>
    <n v="124950.5699088127"/>
    <n v="75524.970142364502"/>
    <n v="4225.4000023603403"/>
    <n v="931"/>
    <n v="200.12293233404188"/>
    <n v="114.4619547349819"/>
    <n v="141.19200850309358"/>
    <n v="0.70552638249082922"/>
    <n v="1.3136451767698576"/>
    <n v="161859.98000000001"/>
    <n v="135972.22"/>
    <n v="2506.64"/>
    <n v="1.8434942078609878E-2"/>
    <n v="4586.3999999999996"/>
    <n v="3.3730419345951695E-2"/>
    <n v="1027.82"/>
    <n v="7.5590440459087889E-3"/>
    <n v="1249.43"/>
    <n v="9.1888622543634287E-3"/>
    <n v="25887.760000000002"/>
    <n v="3051.1"/>
    <n v="0.11785878731879466"/>
    <n v="1027.2"/>
    <n v="3.9678983426916808E-2"/>
    <n v="1171.28"/>
    <n v="4.524454800260818E-2"/>
    <n v="15696.72"/>
    <n v="0.60633751239968225"/>
    <n v="27.750772678205653"/>
    <n v="24.796226280069892"/>
    <n v="74.167517667282112"/>
    <n v="6.0988562151631509E-2"/>
  </r>
  <r>
    <x v="11"/>
    <x v="4"/>
    <x v="45"/>
    <n v="81206.250001430497"/>
    <n v="8296"/>
    <n v="72910.250001430497"/>
    <n v="54201.120045900301"/>
    <n v="27302.410002708399"/>
    <n v="26898.710043191899"/>
    <n v="3031.9000090360601"/>
    <n v="51169.220036864244"/>
    <n v="31316.599985847199"/>
    <n v="629.82999992370605"/>
    <n v="397"/>
    <n v="204.54974811443449"/>
    <n v="124.08015117294607"/>
    <n v="136.52675074534082"/>
    <n v="0.66745010445557473"/>
    <n v="1.1724758552436356"/>
    <n v="66595.600000000006"/>
    <n v="51147.860000000008"/>
    <n v="1544.01"/>
    <n v="3.0187186717098229E-2"/>
    <n v="683.97"/>
    <n v="1.3372406978512882E-2"/>
    <n v="142.9"/>
    <n v="2.7938607793170618E-3"/>
    <n v="1508.74"/>
    <n v="2.9497617300117733E-2"/>
    <n v="15447.740000000002"/>
    <n v="1042.81"/>
    <n v="6.750566749569839E-2"/>
    <n v="1348.62"/>
    <n v="8.7302090791274309E-2"/>
    <n v="1300.0899999999999"/>
    <n v="8.4160530925559321E-2"/>
    <n v="8742.2000000000007"/>
    <n v="0.56592096966934968"/>
    <n v="25.266299051138279"/>
    <n v="20.961919839334225"/>
    <n v="78.931338707846038"/>
    <n v="6.1549149145738363E-2"/>
  </r>
  <r>
    <x v="11"/>
    <x v="4"/>
    <x v="47"/>
    <n v="168316.07000717"/>
    <n v="7682"/>
    <n v="160634.07000717"/>
    <n v="111287.730154613"/>
    <n v="63589.230075219602"/>
    <n v="47698.500079393401"/>
    <n v="6086.1700162887601"/>
    <n v="105201.56013832425"/>
    <n v="68139.180002212495"/>
    <n v="6453.6200054064402"/>
    <n v="734"/>
    <n v="229.31344687625341"/>
    <n v="127.68837874598238"/>
    <n v="151.61816097358721"/>
    <n v="0.66118303587929739"/>
    <n v="1.2698700684512347"/>
    <n v="170604.02000000002"/>
    <n v="137981.07"/>
    <n v="7125.99"/>
    <n v="5.1644693000278949E-2"/>
    <n v="6247.22"/>
    <n v="4.5275920820153082E-2"/>
    <n v="1021.07"/>
    <n v="7.4000730679940376E-3"/>
    <n v="5665.81"/>
    <n v="4.1062226869236482E-2"/>
    <n v="32622.950000000004"/>
    <n v="2709.98"/>
    <n v="8.3069740780646745E-2"/>
    <n v="2564.77"/>
    <n v="7.8618579864788429E-2"/>
    <n v="1816.41"/>
    <n v="5.5678900896454789E-2"/>
    <n v="19234.330000000002"/>
    <n v="0.58959505501495113"/>
    <n v="30.649074982361519"/>
    <n v="26.194290341234556"/>
    <n v="109.19206738815132"/>
    <n v="6.4937661866875884E-2"/>
  </r>
  <r>
    <x v="11"/>
    <x v="4"/>
    <x v="49"/>
    <n v="144280.61000371899"/>
    <n v="8049"/>
    <n v="136231.61000371899"/>
    <n v="92770.460003376007"/>
    <n v="55447.169965982401"/>
    <n v="37323.290037393599"/>
    <n v="3651.4200048446701"/>
    <n v="89119.039998531342"/>
    <n v="63980.380122363596"/>
    <n v="4107.2399996519098"/>
    <n v="674"/>
    <n v="214.06618694913797"/>
    <n v="113.04597905297253"/>
    <n v="137.64163205248667"/>
    <n v="0.64298633060246102"/>
    <n v="1.2788592824894229"/>
    <n v="138173.12"/>
    <n v="103789.19"/>
    <n v="3643.96"/>
    <n v="3.5109244035915491E-2"/>
    <n v="959.01"/>
    <n v="9.2399796163743064E-3"/>
    <n v="1679.28"/>
    <n v="1.6179719679862613E-2"/>
    <n v="7043.01"/>
    <n v="6.7858801094796098E-2"/>
    <n v="34383.93"/>
    <n v="3942.04"/>
    <n v="0.1146477438733734"/>
    <n v="1764.64"/>
    <n v="5.1321649386792033E-2"/>
    <n v="1996.02"/>
    <n v="5.8050955780796436E-2"/>
    <n v="20291.75"/>
    <n v="0.59015214374854763"/>
    <n v="29.26430777703666"/>
    <n v="23.274238300275723"/>
    <n v="131.1585021615665"/>
    <n v="4.7923306468401233E-2"/>
  </r>
  <r>
    <x v="11"/>
    <x v="0"/>
    <x v="0"/>
    <n v="0"/>
    <n v="0"/>
    <n v="0"/>
    <n v="0"/>
    <n v="0"/>
    <n v="0"/>
    <n v="0"/>
    <n v="0"/>
    <n v="0"/>
    <n v="0"/>
    <n v="0"/>
    <s v="$0.00"/>
    <s v="$0.00"/>
    <s v="$0.00"/>
    <s v="0.00%"/>
    <s v="0.00%"/>
    <n v="-177.68"/>
    <n v="-177.68"/>
    <n v="0"/>
    <n v="0"/>
    <n v="0"/>
    <n v="0"/>
    <n v="0"/>
    <n v="0"/>
    <n v="-177.68"/>
    <n v="0"/>
    <n v="0"/>
    <n v="0"/>
    <s v="0.00%"/>
    <n v="0"/>
    <s v="0.00%"/>
    <n v="0"/>
    <n v="0"/>
    <n v="0"/>
    <s v="0.00%"/>
    <s v="0.00"/>
    <s v="0.00"/>
    <s v="0.00"/>
    <s v="0.00%"/>
  </r>
  <r>
    <x v="11"/>
    <x v="2"/>
    <x v="20"/>
    <n v="0"/>
    <n v="0"/>
    <n v="0"/>
    <n v="0"/>
    <n v="0"/>
    <n v="0"/>
    <n v="0"/>
    <n v="0"/>
    <n v="0"/>
    <n v="-25"/>
    <n v="0"/>
    <s v="$0.00"/>
    <s v="$0.00"/>
    <s v="$0.00"/>
    <s v="0.00%"/>
    <n v="0"/>
    <n v="-285.58"/>
    <n v="-285.58"/>
    <n v="0"/>
    <n v="0"/>
    <n v="0"/>
    <n v="0"/>
    <n v="0"/>
    <n v="0"/>
    <n v="-285.58"/>
    <n v="0"/>
    <n v="0"/>
    <n v="0"/>
    <s v="0.00%"/>
    <n v="0"/>
    <s v="0.00%"/>
    <n v="0"/>
    <n v="0"/>
    <n v="0"/>
    <s v="0.00%"/>
    <s v="0.00"/>
    <s v="0.00"/>
    <s v="0.00"/>
    <n v="0"/>
  </r>
  <r>
    <x v="11"/>
    <x v="2"/>
    <x v="22"/>
    <n v="0"/>
    <n v="0"/>
    <n v="0"/>
    <n v="0"/>
    <n v="0"/>
    <n v="0"/>
    <n v="0"/>
    <n v="0"/>
    <n v="0"/>
    <n v="-277.55000019073498"/>
    <n v="0"/>
    <s v="$0.00"/>
    <s v="$0.00"/>
    <s v="$0.00"/>
    <s v="0.00%"/>
    <n v="0"/>
    <n v="-167"/>
    <n v="-167"/>
    <n v="0"/>
    <n v="0"/>
    <n v="0"/>
    <n v="0"/>
    <n v="0"/>
    <n v="0"/>
    <n v="-167"/>
    <n v="0"/>
    <n v="0"/>
    <n v="0"/>
    <s v="0.00%"/>
    <n v="0"/>
    <s v="0.00%"/>
    <n v="0"/>
    <n v="0"/>
    <n v="0"/>
    <s v="0.00%"/>
    <s v="0.00"/>
    <s v="0.00"/>
    <s v="0.00"/>
    <n v="0"/>
  </r>
  <r>
    <x v="11"/>
    <x v="4"/>
    <x v="46"/>
    <n v="0"/>
    <n v="0"/>
    <n v="0"/>
    <n v="0"/>
    <n v="0"/>
    <n v="0"/>
    <n v="0"/>
    <n v="0"/>
    <n v="0"/>
    <n v="3.5399999618529998"/>
    <n v="0"/>
    <s v="$0.00"/>
    <s v="$0.00"/>
    <s v="$0.00"/>
    <s v="0.00%"/>
    <n v="0"/>
    <n v="-8.66"/>
    <n v="0"/>
    <n v="0"/>
    <s v="0.00%"/>
    <n v="0"/>
    <s v="0.00%"/>
    <n v="0"/>
    <n v="0"/>
    <n v="0"/>
    <s v="0.00%"/>
    <n v="-8.66"/>
    <n v="0"/>
    <n v="0"/>
    <n v="0"/>
    <n v="0"/>
    <n v="0"/>
    <n v="0"/>
    <n v="-8.66"/>
    <n v="1"/>
    <n v="0"/>
    <n v="0"/>
    <n v="0"/>
    <n v="0"/>
  </r>
  <r>
    <x v="11"/>
    <x v="0"/>
    <x v="6"/>
    <n v="0"/>
    <n v="0"/>
    <n v="0"/>
    <n v="0"/>
    <n v="0"/>
    <n v="0"/>
    <n v="35"/>
    <n v="-35"/>
    <n v="0"/>
    <n v="90"/>
    <n v="0"/>
    <s v="$0.00"/>
    <s v="$0.00"/>
    <s v="$0.00"/>
    <s v="0.00%"/>
    <n v="0"/>
    <n v="-293.58999999999997"/>
    <n v="-258.58999999999997"/>
    <n v="0"/>
    <n v="0"/>
    <n v="0"/>
    <n v="0"/>
    <n v="0"/>
    <n v="0"/>
    <n v="-258.58999999999997"/>
    <n v="0"/>
    <n v="-35"/>
    <n v="0"/>
    <n v="0"/>
    <n v="0"/>
    <n v="0"/>
    <n v="0"/>
    <n v="0"/>
    <n v="-35"/>
    <n v="1"/>
    <s v="0.00"/>
    <s v="0.00"/>
    <s v="0.00"/>
    <n v="-0.3888888888888889"/>
  </r>
  <r>
    <x v="11"/>
    <x v="0"/>
    <x v="14"/>
    <n v="0"/>
    <n v="0"/>
    <n v="0"/>
    <n v="0"/>
    <n v="0"/>
    <n v="0"/>
    <n v="0"/>
    <n v="0"/>
    <n v="0"/>
    <n v="30"/>
    <n v="0"/>
    <s v="$0.00"/>
    <s v="$0.00"/>
    <s v="$0.00"/>
    <s v="0.00%"/>
    <n v="0"/>
    <n v="-19"/>
    <n v="1"/>
    <n v="0"/>
    <n v="0"/>
    <n v="0"/>
    <n v="0"/>
    <n v="0"/>
    <n v="0"/>
    <n v="-245"/>
    <n v="0"/>
    <n v="-20"/>
    <n v="0"/>
    <n v="0"/>
    <n v="0"/>
    <n v="0"/>
    <n v="0"/>
    <n v="0"/>
    <n v="-20"/>
    <n v="1"/>
    <s v="0.00"/>
    <s v="0.00"/>
    <s v="0.00"/>
    <n v="0"/>
  </r>
  <r>
    <x v="11"/>
    <x v="1"/>
    <x v="17"/>
    <n v="346319.17039264401"/>
    <n v="13983.8100013733"/>
    <n v="332335.36039127002"/>
    <n v="229009.10972931999"/>
    <n v="141729.759737343"/>
    <n v="87279.3499919772"/>
    <n v="21369.860087193501"/>
    <n v="207639.24964212673"/>
    <n v="134484.88012036699"/>
    <n v="9807.8099920749701"/>
    <n v="1562"/>
    <n v="221.71521792102644"/>
    <n v="129.33833564673583"/>
    <n v="146.61274630558273"/>
    <n v="0.66126604966649272"/>
    <n v="1.2676485892664995"/>
    <n v="374127.74999999994"/>
    <n v="287009.17999999993"/>
    <n v="8721.7000000000007"/>
    <n v="3.0388226606549669E-2"/>
    <n v="11432.18"/>
    <n v="3.9832105718709078E-2"/>
    <n v="6726.16"/>
    <n v="2.3435347956466065E-2"/>
    <n v="19191.48"/>
    <n v="6.6867129476485751E-2"/>
    <n v="87118.57"/>
    <n v="11681.12"/>
    <n v="0.13408300893827801"/>
    <n v="4849.68"/>
    <n v="5.566758040220357E-2"/>
    <n v="5308.83"/>
    <n v="6.093798371575658E-2"/>
    <n v="32401.91"/>
    <n v="0.37192885512239238"/>
    <n v="24.362435290596892"/>
    <n v="19.493165218854873"/>
    <n v="137.59184521321629"/>
    <n v="0.10577752014267844"/>
  </r>
  <r>
    <x v="11"/>
    <x v="1"/>
    <x v="53"/>
    <n v="140808.52016353601"/>
    <n v="4172"/>
    <n v="136636.52016353601"/>
    <n v="86881.449917076199"/>
    <n v="60607.389953849801"/>
    <n v="26274.0599632263"/>
    <n v="7068.4000029936396"/>
    <n v="79813.049914082454"/>
    <n v="55270.439934533097"/>
    <n v="1620.0200081467599"/>
    <n v="618"/>
    <n v="227.84550188274437"/>
    <n v="135.78974145769607"/>
    <n v="140.58487041598073"/>
    <n v="0.61701841490963305"/>
    <n v="1.1305378536583541"/>
    <n v="142554.23000000001"/>
    <n v="119166.25000000001"/>
    <n v="3405.78"/>
    <n v="2.8580071958293558E-2"/>
    <n v="2937.41"/>
    <n v="2.4649680593288783E-2"/>
    <n v="2242.38"/>
    <n v="1.8817240619722446E-2"/>
    <n v="7553.52"/>
    <n v="6.3386403448963111E-2"/>
    <n v="23387.98"/>
    <n v="2701.51"/>
    <n v="0.11550847914184979"/>
    <n v="2273.4299999999998"/>
    <n v="9.7205060035112048E-2"/>
    <n v="1589.78"/>
    <n v="6.7974232917934765E-2"/>
    <n v="9536.4"/>
    <n v="0.40774791153404438"/>
    <n v="30.441820359125728"/>
    <n v="26.376516808113927"/>
    <n v="141.78829948469232"/>
    <n v="8.4229783009652184E-2"/>
  </r>
  <r>
    <x v="11"/>
    <x v="1"/>
    <x v="54"/>
    <n v="130109.110168338"/>
    <n v="4049"/>
    <n v="126060.110168338"/>
    <n v="86415.429809389607"/>
    <n v="59929.519804297001"/>
    <n v="26485.910005092599"/>
    <n v="5056.0000166892996"/>
    <n v="81359.429792700306"/>
    <n v="61914.459985796399"/>
    <n v="2528.1500078439699"/>
    <n v="567"/>
    <n v="229.46933010288888"/>
    <n v="115.81393328870836"/>
    <n v="152.40816544865891"/>
    <n v="0.66417662604550476"/>
    <n v="1.4257501519391722"/>
    <n v="158844.77000000002"/>
    <n v="129615.34000000001"/>
    <n v="6092.87"/>
    <n v="4.7007321818544001E-2"/>
    <n v="7453.5"/>
    <n v="5.7504767568406633E-2"/>
    <n v="4554.1899999999996"/>
    <n v="3.5136196070619415E-2"/>
    <n v="8661.85"/>
    <n v="6.6827352379741467E-2"/>
    <n v="29229.43"/>
    <n v="3036.32"/>
    <n v="0.10387886455534713"/>
    <n v="2154.33"/>
    <n v="7.3704139971254995E-2"/>
    <n v="2404.3200000000002"/>
    <n v="8.2256821292786081E-2"/>
    <n v="11911.22"/>
    <n v="0.40750777555361151"/>
    <n v="34.312518052432189"/>
    <n v="30.846079658406083"/>
    <n v="209.03048867699644"/>
    <n v="7.699511932626886E-2"/>
  </r>
  <r>
    <x v="11"/>
    <x v="4"/>
    <x v="41"/>
    <n v="0"/>
    <n v="0"/>
    <n v="0"/>
    <n v="0"/>
    <n v="0"/>
    <n v="0"/>
    <n v="0"/>
    <n v="0"/>
    <n v="0"/>
    <n v="0"/>
    <n v="0"/>
    <s v="$0.00"/>
    <s v="$0.00"/>
    <s v="$0.00"/>
    <s v="0.00%"/>
    <s v="0.00%"/>
    <n v="-75"/>
    <n v="-25"/>
    <n v="0"/>
    <n v="0"/>
    <n v="0"/>
    <n v="0"/>
    <n v="0"/>
    <n v="0"/>
    <n v="-25"/>
    <n v="0"/>
    <n v="-50"/>
    <n v="0"/>
    <n v="0"/>
    <n v="0"/>
    <n v="0"/>
    <n v="0"/>
    <n v="0"/>
    <n v="-50"/>
    <n v="1"/>
    <s v="0.00"/>
    <s v="0.00"/>
    <s v="0.00"/>
    <s v="0.00%"/>
  </r>
  <r>
    <x v="11"/>
    <x v="3"/>
    <x v="55"/>
    <n v="22743"/>
    <n v="805"/>
    <n v="21938"/>
    <n v="8789.4099807739294"/>
    <n v="3147.22997665405"/>
    <n v="5642.1800041198703"/>
    <n v="0"/>
    <n v="8789.4099807739203"/>
    <n v="2903.02000427246"/>
    <n v="0"/>
    <n v="100"/>
    <n v="227.43"/>
    <n v="198.39979995727538"/>
    <n v="87.894099807739209"/>
    <n v="0.38646660426390189"/>
    <n v="0.44301506264959362"/>
    <n v="15239.55"/>
    <n v="14912.92"/>
    <n v="0"/>
    <n v="0"/>
    <n v="0"/>
    <n v="0"/>
    <n v="0"/>
    <n v="0"/>
    <n v="0"/>
    <n v="0"/>
    <n v="326.63"/>
    <n v="0"/>
    <n v="0"/>
    <n v="0"/>
    <n v="0"/>
    <n v="0"/>
    <n v="0"/>
    <n v="0"/>
    <n v="0"/>
    <n v="20.102295211713493"/>
    <n v="20.393271948217702"/>
    <n v="12.172546583850931"/>
    <n v="0"/>
  </r>
  <r>
    <x v="11"/>
    <x v="2"/>
    <x v="18"/>
    <n v="0"/>
    <n v="0"/>
    <n v="0"/>
    <n v="0"/>
    <n v="0"/>
    <n v="0"/>
    <n v="0"/>
    <n v="0"/>
    <n v="0"/>
    <n v="0"/>
    <n v="0"/>
    <s v="$0.00"/>
    <s v="$0.00"/>
    <s v="$0.00"/>
    <s v="0.00%"/>
    <s v="0.00%"/>
    <n v="-30"/>
    <n v="0"/>
    <n v="0"/>
    <s v="0.00%"/>
    <n v="0"/>
    <s v="0.00%"/>
    <n v="0"/>
    <n v="0"/>
    <n v="0"/>
    <s v="0.00%"/>
    <n v="-30"/>
    <n v="0"/>
    <n v="0"/>
    <n v="0"/>
    <n v="0"/>
    <n v="0"/>
    <n v="0"/>
    <n v="-30"/>
    <n v="1"/>
    <s v="0.00"/>
    <s v="0.00"/>
    <s v="0.00"/>
    <s v="0.00%"/>
  </r>
  <r>
    <x v="11"/>
    <x v="0"/>
    <x v="4"/>
    <n v="0"/>
    <n v="0"/>
    <n v="0"/>
    <n v="0"/>
    <n v="0"/>
    <n v="0"/>
    <n v="0"/>
    <n v="0"/>
    <n v="0"/>
    <n v="0"/>
    <n v="0"/>
    <s v="$0.00"/>
    <s v="$0.00"/>
    <s v="$0.00"/>
    <s v="0.00%"/>
    <s v="0.00%"/>
    <n v="-38.61"/>
    <n v="0"/>
    <n v="0"/>
    <s v="0.00%"/>
    <n v="0"/>
    <s v="0.00%"/>
    <n v="0"/>
    <n v="0"/>
    <n v="0"/>
    <s v="0.00%"/>
    <n v="-38.61"/>
    <n v="0"/>
    <n v="0"/>
    <n v="0"/>
    <n v="0"/>
    <n v="0"/>
    <n v="0"/>
    <n v="-38.61"/>
    <n v="1"/>
    <n v="0"/>
    <n v="0"/>
    <n v="0"/>
    <s v="0.00%"/>
  </r>
  <r>
    <x v="12"/>
    <x v="2"/>
    <x v="18"/>
    <n v="0"/>
    <n v="0"/>
    <n v="0"/>
    <n v="0"/>
    <n v="0"/>
    <n v="0"/>
    <n v="0"/>
    <n v="0"/>
    <n v="0"/>
    <n v="0"/>
    <n v="0"/>
    <s v="$0.00"/>
    <s v="$0.00"/>
    <s v="$0.00"/>
    <s v="0.00%"/>
    <s v="0.00%"/>
    <n v="-30"/>
    <n v="0"/>
    <n v="0"/>
    <s v="0.00%"/>
    <n v="0"/>
    <s v="0.00%"/>
    <n v="0"/>
    <n v="0"/>
    <n v="0"/>
    <s v="0.00%"/>
    <n v="-30"/>
    <n v="0"/>
    <n v="0"/>
    <n v="0"/>
    <n v="0"/>
    <n v="0"/>
    <n v="0"/>
    <n v="-30"/>
    <n v="1"/>
    <n v="0"/>
    <n v="0"/>
    <n v="0"/>
    <s v="0.00%"/>
  </r>
  <r>
    <x v="12"/>
    <x v="2"/>
    <x v="19"/>
    <n v="129555"/>
    <n v="7660"/>
    <n v="121895"/>
    <n v="69624.170528173403"/>
    <n v="34156.790292501399"/>
    <n v="35467.380235671997"/>
    <n v="6642.9300189018204"/>
    <n v="62981.240509271571"/>
    <n v="45189.389595270201"/>
    <n v="3488.2100117299701"/>
    <n v="858"/>
    <n v="150.99650349650349"/>
    <n v="94.26270442074572"/>
    <n v="81.147051897637979"/>
    <n v="0.53741013876865729"/>
    <n v="0.93789543021333055"/>
    <n v="128385.25999999998"/>
    <n v="101476.47999999998"/>
    <n v="7680.6"/>
    <n v="7.5688474807167158E-2"/>
    <n v="4876.01"/>
    <n v="4.805064188272988E-2"/>
    <n v="853.23"/>
    <n v="8.4081552690830445E-3"/>
    <n v="5247.62"/>
    <n v="5.1712672729680817E-2"/>
    <n v="26908.78"/>
    <n v="2384.1799999999998"/>
    <n v="8.860230749963395E-2"/>
    <n v="2024.77"/>
    <n v="7.5245700473971694E-2"/>
    <n v="2082.14"/>
    <n v="7.7377718350664731E-2"/>
    <n v="7674.33"/>
    <n v="0.28519799113895167"/>
    <n v="32.521250303955178"/>
    <n v="27.414788686400858"/>
    <n v="109.29149329843405"/>
    <n v="8.2135800441439324E-2"/>
  </r>
  <r>
    <x v="12"/>
    <x v="0"/>
    <x v="0"/>
    <n v="0"/>
    <n v="0"/>
    <n v="0"/>
    <n v="0"/>
    <n v="0"/>
    <n v="0"/>
    <n v="0"/>
    <n v="0"/>
    <n v="0"/>
    <n v="0"/>
    <n v="0"/>
    <s v="$0.00"/>
    <s v="$0.00"/>
    <s v="$0.00"/>
    <s v="0.00%"/>
    <s v="0.00%"/>
    <n v="-354.62"/>
    <n v="-177.68"/>
    <n v="0"/>
    <n v="0"/>
    <n v="0"/>
    <n v="0"/>
    <n v="0"/>
    <n v="0"/>
    <n v="-177.68"/>
    <n v="0"/>
    <n v="-176.94"/>
    <n v="0"/>
    <n v="0"/>
    <n v="0"/>
    <n v="0"/>
    <n v="0"/>
    <n v="0"/>
    <n v="-176.94"/>
    <n v="1"/>
    <n v="0"/>
    <n v="0"/>
    <n v="0"/>
    <s v="0.00%"/>
  </r>
  <r>
    <x v="12"/>
    <x v="0"/>
    <x v="1"/>
    <n v="206242.36000133501"/>
    <n v="12525"/>
    <n v="193717.36000133501"/>
    <n v="123843.900082048"/>
    <n v="57236.720006521798"/>
    <n v="66607.180075526194"/>
    <n v="10756.440017938599"/>
    <n v="113087.4600641094"/>
    <n v="66863.570031587005"/>
    <n v="4101.7000068426096"/>
    <n v="1037"/>
    <n v="198.88366441787369"/>
    <n v="130.45042426509681"/>
    <n v="119.42516883514755"/>
    <n v="0.60047751626409995"/>
    <n v="0.99456515956816893"/>
    <n v="136322.71"/>
    <n v="100922.37"/>
    <n v="2537.08"/>
    <n v="2.5138926087447215E-2"/>
    <n v="59.97"/>
    <n v="5.9421910127556454E-4"/>
    <n v="-205.1"/>
    <n v="0"/>
    <n v="4064.41"/>
    <n v="4.0272637275561407E-2"/>
    <n v="35400.339999999997"/>
    <n v="3955.76"/>
    <n v="0.11174355952513453"/>
    <n v="3218.61"/>
    <n v="9.0920313194732039E-2"/>
    <n v="1282.45"/>
    <n v="3.6227053186494822E-2"/>
    <n v="15118.05"/>
    <n v="0.42705945762102854"/>
    <n v="23.54548863988736"/>
    <n v="18.507137951230192"/>
    <n v="105.17035056446819"/>
    <n v="7.9514129265259512E-2"/>
  </r>
  <r>
    <x v="12"/>
    <x v="0"/>
    <x v="3"/>
    <n v="223197.98000267"/>
    <n v="20309"/>
    <n v="202888.98000267"/>
    <n v="135766.270060018"/>
    <n v="62825.859996035702"/>
    <n v="72940.410063981995"/>
    <n v="15464.390034079601"/>
    <n v="120301.88002593811"/>
    <n v="73041.0400067382"/>
    <n v="2518.1699899733098"/>
    <n v="992"/>
    <n v="224.99796371236894"/>
    <n v="148.82940524794205"/>
    <n v="136.86115933469526"/>
    <n v="0.6082773242768309"/>
    <n v="1.027175388217467"/>
    <n v="179422.19"/>
    <n v="140490.9"/>
    <n v="6614.59"/>
    <n v="4.7081981822310201E-2"/>
    <n v="5009.03"/>
    <n v="3.5653768322361092E-2"/>
    <n v="2433.91"/>
    <n v="1.7324324920688812E-2"/>
    <n v="8358.59"/>
    <n v="5.9495597223734778E-2"/>
    <n v="38931.29"/>
    <n v="4116.54"/>
    <n v="0.10573859741097713"/>
    <n v="4134.4799999999996"/>
    <n v="0.10619940926694182"/>
    <n v="2679.42"/>
    <n v="6.8824331276975403E-2"/>
    <n v="15247"/>
    <n v="0.39163870501080233"/>
    <n v="26.456912800275958"/>
    <n v="22.533555117232584"/>
    <n v="71.181051925889818"/>
    <n v="0.10474477695428835"/>
  </r>
  <r>
    <x v="12"/>
    <x v="0"/>
    <x v="56"/>
    <n v="52378.2300019264"/>
    <n v="3981"/>
    <n v="48397.2300019264"/>
    <n v="17308.850044250499"/>
    <n v="1277.90001678467"/>
    <n v="16030.9500274658"/>
    <n v="0"/>
    <n v="17308.85004425047"/>
    <n v="971.48000335693405"/>
    <n v="0"/>
    <n v="224"/>
    <n v="233.83138393717144"/>
    <n v="229.49441963647084"/>
    <n v="77.271651983261023"/>
    <n v="0.33045885749888598"/>
    <n v="0.33670383840122425"/>
    <n v="37349.9"/>
    <n v="37939.96"/>
    <n v="0"/>
    <n v="0"/>
    <n v="0"/>
    <n v="0"/>
    <n v="0"/>
    <n v="0"/>
    <n v="0"/>
    <n v="0"/>
    <n v="-590.05999999999995"/>
    <n v="0"/>
    <n v="0"/>
    <n v="0"/>
    <n v="0"/>
    <n v="0"/>
    <n v="0"/>
    <n v="0"/>
    <n v="0"/>
    <n v="21.39241818516566"/>
    <n v="23.517850090897667"/>
    <n v="-4.4465712132629989"/>
    <n v="0"/>
  </r>
  <r>
    <x v="12"/>
    <x v="0"/>
    <x v="4"/>
    <n v="0"/>
    <n v="0"/>
    <n v="0"/>
    <n v="0"/>
    <n v="0"/>
    <n v="0"/>
    <n v="0"/>
    <n v="0"/>
    <n v="0"/>
    <n v="-4"/>
    <n v="0"/>
    <s v="$0.00"/>
    <s v="$0.00"/>
    <s v="$0.00"/>
    <s v="0.00%"/>
    <n v="0"/>
    <n v="-81.61"/>
    <n v="0"/>
    <n v="0"/>
    <s v="0.00%"/>
    <n v="0"/>
    <s v="0.00%"/>
    <n v="0"/>
    <n v="0"/>
    <n v="0"/>
    <s v="0.00%"/>
    <n v="-81.61"/>
    <n v="0"/>
    <n v="0"/>
    <n v="0"/>
    <n v="0"/>
    <n v="0"/>
    <n v="0"/>
    <n v="-81.61"/>
    <n v="1"/>
    <n v="0"/>
    <n v="0"/>
    <n v="0"/>
    <n v="0"/>
  </r>
  <r>
    <x v="12"/>
    <x v="0"/>
    <x v="5"/>
    <n v="378228.92000649899"/>
    <n v="22836"/>
    <n v="355392.92000649899"/>
    <n v="212335.36024701601"/>
    <n v="104346.100076199"/>
    <n v="107989.260170817"/>
    <n v="14073.1100080013"/>
    <n v="198262.25023901471"/>
    <n v="128187.00987009"/>
    <n v="8489.0199791677296"/>
    <n v="1613"/>
    <n v="234.48786113236142"/>
    <n v="149.75380666908944"/>
    <n v="131.64002495165283"/>
    <n v="0.5613937724364586"/>
    <n v="0.93342520424325925"/>
    <n v="312291.02"/>
    <n v="247606.34"/>
    <n v="6559.75"/>
    <n v="2.6492657659735207E-2"/>
    <n v="3560.97"/>
    <n v="1.4381578436157975E-2"/>
    <n v="4196.9399999999996"/>
    <n v="1.6950050632790741E-2"/>
    <n v="9039.98"/>
    <n v="3.650948517715661E-2"/>
    <n v="64684.679999999993"/>
    <n v="4928.34"/>
    <n v="7.6190220002634326E-2"/>
    <n v="6175.86"/>
    <n v="9.5476394101354459E-2"/>
    <n v="3765.99"/>
    <n v="5.8220740985346145E-2"/>
    <n v="27517.37"/>
    <n v="0.42540784000168202"/>
    <n v="27.846782865841043"/>
    <n v="23.423181279187887"/>
    <n v="100.50100473017297"/>
    <n v="5.8260987888988904E-2"/>
  </r>
  <r>
    <x v="12"/>
    <x v="0"/>
    <x v="6"/>
    <n v="0"/>
    <n v="0"/>
    <n v="0"/>
    <n v="90"/>
    <n v="90"/>
    <n v="0"/>
    <n v="0"/>
    <n v="90"/>
    <n v="0"/>
    <n v="-65"/>
    <n v="0"/>
    <s v="$0.00"/>
    <s v="$0.00"/>
    <s v="$0.00"/>
    <s v="0.00%"/>
    <n v="1.3846153846153846"/>
    <n v="-318.58999999999997"/>
    <n v="-283.58999999999997"/>
    <n v="0"/>
    <n v="0"/>
    <n v="0"/>
    <n v="0"/>
    <n v="0"/>
    <n v="0"/>
    <n v="-283.58999999999997"/>
    <n v="0"/>
    <n v="-35"/>
    <n v="0"/>
    <n v="0"/>
    <n v="0"/>
    <n v="0"/>
    <n v="0"/>
    <n v="0"/>
    <n v="-35"/>
    <n v="1"/>
    <n v="0"/>
    <n v="0"/>
    <n v="0"/>
    <n v="0"/>
  </r>
  <r>
    <x v="12"/>
    <x v="0"/>
    <x v="7"/>
    <n v="0"/>
    <n v="0"/>
    <n v="0"/>
    <n v="0"/>
    <n v="0"/>
    <n v="0"/>
    <n v="0"/>
    <n v="0"/>
    <n v="0"/>
    <n v="0"/>
    <n v="0"/>
    <s v="$0.00"/>
    <s v="$0.00"/>
    <s v="$0.00"/>
    <s v="0.00%"/>
    <s v="0.00%"/>
    <n v="-10"/>
    <n v="0"/>
    <n v="0"/>
    <s v="0.00%"/>
    <n v="0"/>
    <s v="0.00%"/>
    <n v="0"/>
    <n v="0"/>
    <n v="0"/>
    <s v="0.00%"/>
    <n v="-10"/>
    <n v="0"/>
    <n v="0"/>
    <n v="0"/>
    <n v="0"/>
    <n v="0"/>
    <n v="0"/>
    <n v="-10"/>
    <n v="1"/>
    <n v="0"/>
    <n v="0"/>
    <n v="0"/>
    <s v="0.00%"/>
  </r>
  <r>
    <x v="12"/>
    <x v="0"/>
    <x v="8"/>
    <n v="290639.460014796"/>
    <n v="17861"/>
    <n v="272778.460014796"/>
    <n v="169602.659935787"/>
    <n v="92815.639806136503"/>
    <n v="76787.020129650802"/>
    <n v="9305.5600020885504"/>
    <n v="160297.09993369877"/>
    <n v="102045.720155463"/>
    <n v="6621.0799844395397"/>
    <n v="1295"/>
    <n v="224.43201545544093"/>
    <n v="140.51942847482121"/>
    <n v="130.96730496971995"/>
    <n v="0.58355001047398425"/>
    <n v="0.98225232288446951"/>
    <n v="245577.78999999998"/>
    <n v="196019.08"/>
    <n v="6757.81"/>
    <n v="3.4475266387333316E-2"/>
    <n v="2854.64"/>
    <n v="1.456307212542779E-2"/>
    <n v="2264.36"/>
    <n v="1.1551732617049322E-2"/>
    <n v="15752.3"/>
    <n v="8.0361054648353622E-2"/>
    <n v="49558.71"/>
    <n v="5010.6899999999996"/>
    <n v="0.10110614259329995"/>
    <n v="3152.53"/>
    <n v="6.3612027028145002E-2"/>
    <n v="3064.85"/>
    <n v="6.1842812292733203E-2"/>
    <n v="22113.09"/>
    <n v="0.44619987081988211"/>
    <n v="30.022369257103033"/>
    <n v="25.349354825684028"/>
    <n v="110.83929077309212"/>
    <n v="5.113713240486862E-2"/>
  </r>
  <r>
    <x v="12"/>
    <x v="3"/>
    <x v="28"/>
    <n v="167585.75000167801"/>
    <n v="9591"/>
    <n v="157994.75000167801"/>
    <n v="92384.650119081096"/>
    <n v="38307.999998748302"/>
    <n v="54076.650120332801"/>
    <n v="7098.3699921369598"/>
    <n v="85286.280126944155"/>
    <n v="50894.740008115798"/>
    <n v="2594.8399841785399"/>
    <n v="698"/>
    <n v="240.09419771014041"/>
    <n v="163.46156161802818"/>
    <n v="132.35623226229384"/>
    <n v="0.5512679336886106"/>
    <n v="0.86342569757686471"/>
    <n v="102225.51999999999"/>
    <n v="81500.7"/>
    <n v="2968.98"/>
    <n v="3.6428889567819665E-2"/>
    <n v="1609.69"/>
    <n v="1.9750627908717351E-2"/>
    <n v="995.07"/>
    <n v="1.2209342987238147E-2"/>
    <n v="-610.16999999999996"/>
    <n v="-7.4866841634489024E-3"/>
    <n v="20724.82"/>
    <n v="2557.8200000000002"/>
    <n v="0.12341820097834386"/>
    <n v="2043.67"/>
    <n v="9.8609782859392758E-2"/>
    <n v="940.31"/>
    <n v="4.5371202258933971E-2"/>
    <n v="8554.52"/>
    <n v="0.41276691426029277"/>
    <n v="22.031481827736851"/>
    <n v="18.416908680591884"/>
    <n v="96.549189916662357"/>
    <n v="6.2213919990067722E-2"/>
  </r>
  <r>
    <x v="12"/>
    <x v="4"/>
    <x v="37"/>
    <n v="106541.450002212"/>
    <n v="6302"/>
    <n v="100239.450002212"/>
    <n v="60092.700073719003"/>
    <n v="31387.6099977493"/>
    <n v="28705.0900759697"/>
    <n v="3453.12000834942"/>
    <n v="56639.580065369577"/>
    <n v="37824.850037574797"/>
    <n v="82.430000305175"/>
    <n v="423"/>
    <n v="251.87104019435463"/>
    <n v="162.25572095586767"/>
    <n v="142.06312074165248"/>
    <n v="0.56403118291023213"/>
    <n v="0.92193513474085143"/>
    <n v="73520.78"/>
    <n v="58034.349999999991"/>
    <n v="1249.67"/>
    <n v="2.1533281582373203E-2"/>
    <n v="2284.9499999999998"/>
    <n v="3.9372371707445682E-2"/>
    <n v="1472.31"/>
    <n v="2.5369630227615198E-2"/>
    <n v="314.60000000000002"/>
    <n v="5.4209274334941302E-3"/>
    <n v="15486.43"/>
    <n v="2166.0500000000002"/>
    <n v="0.1398676131296884"/>
    <n v="1312.24"/>
    <n v="8.4734829137509418E-2"/>
    <n v="751.98"/>
    <n v="4.855734988631983E-2"/>
    <n v="8121.53"/>
    <n v="0.52442880638081213"/>
    <n v="23.94460967840936"/>
    <n v="19.968640645310824"/>
    <n v="94.327199512723325"/>
    <n v="5.0311965747439583E-2"/>
  </r>
  <r>
    <x v="12"/>
    <x v="4"/>
    <x v="38"/>
    <n v="234298.87000417701"/>
    <n v="11132"/>
    <n v="223166.87000417701"/>
    <n v="134995.44028066099"/>
    <n v="61788.8900920749"/>
    <n v="73206.550188586101"/>
    <n v="9607.9900436401404"/>
    <n v="125387.45023702085"/>
    <n v="76084.140002846703"/>
    <n v="2280.6600017547598"/>
    <n v="1040"/>
    <n v="225.28737500401635"/>
    <n v="149.93660576882266"/>
    <n v="129.80330796217402"/>
    <n v="0.57616769674669932"/>
    <n v="0.92256582231488371"/>
    <n v="176667.01"/>
    <n v="145558.1"/>
    <n v="12732.78"/>
    <n v="8.7475585350454563E-2"/>
    <n v="7484.82"/>
    <n v="5.1421528585492662E-2"/>
    <n v="2565.6799999999998"/>
    <n v="1.7626501032920874E-2"/>
    <n v="6325.48"/>
    <n v="4.3456736519644039E-2"/>
    <n v="31108.910000000003"/>
    <n v="2266.85"/>
    <n v="7.2868191138808769E-2"/>
    <n v="4051.53"/>
    <n v="0.13023696426522174"/>
    <n v="2048.33"/>
    <n v="6.5843837022897936E-2"/>
    <n v="13173.62"/>
    <n v="0.42346774605731924"/>
    <n v="25.986814086611318"/>
    <n v="22.500790304308371"/>
    <n v="94.466627302786975"/>
    <n v="6.1615720308373229E-2"/>
  </r>
  <r>
    <x v="12"/>
    <x v="3"/>
    <x v="29"/>
    <n v="215000.08000329899"/>
    <n v="12999"/>
    <n v="202001.08000329899"/>
    <n v="126497.97018083899"/>
    <n v="54462.969989389203"/>
    <n v="72035.000191450104"/>
    <n v="7846.6100254058802"/>
    <n v="118651.36015543342"/>
    <n v="70914.970105558605"/>
    <n v="3868.5999946594202"/>
    <n v="887"/>
    <n v="242.39016911307667"/>
    <n v="158.07949256266176"/>
    <n v="142.61326965145355"/>
    <n v="0.58836243306931935"/>
    <n v="0.95563999291181667"/>
    <n v="130695.26999999999"/>
    <n v="98852.319999999992"/>
    <n v="4648.28"/>
    <n v="4.7022467454481597E-2"/>
    <n v="2167.9699999999998"/>
    <n v="2.1931402318124654E-2"/>
    <n v="1018.11"/>
    <n v="1.0299303041142587E-2"/>
    <n v="1184.8499999999999"/>
    <n v="1.1986061632139741E-2"/>
    <n v="31842.950000000004"/>
    <n v="2639.29"/>
    <n v="8.2884594549185911E-2"/>
    <n v="2263"/>
    <n v="7.1067536142222998E-2"/>
    <n v="2018.23"/>
    <n v="6.3380748328907957E-2"/>
    <n v="13384.12"/>
    <n v="0.42031658498977009"/>
    <n v="21.045291417350345"/>
    <n v="16.953857813825955"/>
    <n v="83.902704013027403"/>
    <n v="5.5960671327716933E-2"/>
  </r>
  <r>
    <x v="12"/>
    <x v="3"/>
    <x v="30"/>
    <n v="264906.64000392897"/>
    <n v="10358"/>
    <n v="254548.640003929"/>
    <n v="137169.100326896"/>
    <n v="69677.150111079201"/>
    <n v="67491.950215816498"/>
    <n v="10517.0400567055"/>
    <n v="126652.06027019021"/>
    <n v="89754.550024226293"/>
    <n v="4524.2299843393303"/>
    <n v="1037"/>
    <n v="255.45481196135876"/>
    <n v="164.5398842771103"/>
    <n v="132.27492799122055"/>
    <n v="0.51780166901388824"/>
    <n v="0.85671349618625603"/>
    <n v="187218.52"/>
    <n v="146033.81"/>
    <n v="4919.7700000000004"/>
    <n v="3.3689253194174693E-2"/>
    <n v="1815.27"/>
    <n v="1.2430477572282748E-2"/>
    <n v="2486.91"/>
    <n v="1.702968648150726E-2"/>
    <n v="2955.14"/>
    <n v="2.0235998773160818E-2"/>
    <n v="41184.71"/>
    <n v="2326.23"/>
    <n v="5.6482854923586935E-2"/>
    <n v="3514.95"/>
    <n v="8.5345993695233005E-2"/>
    <n v="2049.56"/>
    <n v="4.976507058080535E-2"/>
    <n v="17354.689999999999"/>
    <n v="0.42138672337379574"/>
    <n v="25.627610616779183"/>
    <n v="20.767530369660694"/>
    <n v="150.57783149171271"/>
    <n v="6.1637296845845055E-2"/>
  </r>
  <r>
    <x v="12"/>
    <x v="4"/>
    <x v="40"/>
    <n v="253233.490009859"/>
    <n v="11858"/>
    <n v="241375.490009859"/>
    <n v="156976.37005058699"/>
    <n v="82036.009915508301"/>
    <n v="74940.360135078401"/>
    <n v="9742.00004088879"/>
    <n v="147234.37000969792"/>
    <n v="87870.300108723299"/>
    <n v="4598.0499738454801"/>
    <n v="1155"/>
    <n v="219.24977490031083"/>
    <n v="139.19059733964519"/>
    <n v="135.91027710007506"/>
    <n v="0.6198878751956356"/>
    <n v="1.0394193245396914"/>
    <n v="185198.87"/>
    <n v="145421.19999999998"/>
    <n v="9398.5"/>
    <n v="6.4629503813749309E-2"/>
    <n v="6024.45"/>
    <n v="4.1427591025242544E-2"/>
    <n v="2362.61"/>
    <n v="1.6246668298707481E-2"/>
    <n v="1960.78"/>
    <n v="1.3483453581733614E-2"/>
    <n v="39777.67"/>
    <n v="3416.91"/>
    <n v="8.5900204813404102E-2"/>
    <n v="3873.02"/>
    <n v="9.7366688395775822E-2"/>
    <n v="3142.27"/>
    <n v="7.8995828564116508E-2"/>
    <n v="14592.44"/>
    <n v="0.36685004425849982"/>
    <n v="23.242687136378841"/>
    <n v="19.096499002002759"/>
    <n v="112.69171178544448"/>
    <n v="6.0597714437936219E-2"/>
  </r>
  <r>
    <x v="12"/>
    <x v="4"/>
    <x v="41"/>
    <n v="0"/>
    <n v="0"/>
    <n v="0"/>
    <n v="0"/>
    <n v="0"/>
    <n v="0"/>
    <n v="0"/>
    <n v="0"/>
    <n v="0"/>
    <n v="0"/>
    <n v="0"/>
    <s v="$0.00"/>
    <s v="$0.00"/>
    <s v="$0.00"/>
    <s v="0.00%"/>
    <s v="0.00%"/>
    <n v="-79.31"/>
    <n v="-25"/>
    <n v="0"/>
    <n v="0"/>
    <n v="0"/>
    <n v="0"/>
    <n v="0"/>
    <n v="0"/>
    <n v="-25"/>
    <n v="0"/>
    <n v="-54.31"/>
    <n v="0"/>
    <n v="0"/>
    <n v="0"/>
    <n v="0"/>
    <n v="0"/>
    <n v="0"/>
    <n v="-54.31"/>
    <n v="1"/>
    <n v="0"/>
    <n v="0"/>
    <n v="0"/>
    <s v="0.00%"/>
  </r>
  <r>
    <x v="12"/>
    <x v="4"/>
    <x v="42"/>
    <n v="285664.56000420998"/>
    <n v="12282"/>
    <n v="273382.56000420998"/>
    <n v="156639.89023330799"/>
    <n v="93559.440136700898"/>
    <n v="63080.450096607201"/>
    <n v="8775.2600219249707"/>
    <n v="147864.63021138313"/>
    <n v="97853.450048908606"/>
    <n v="5431.1300005372595"/>
    <n v="1218"/>
    <n v="234.5357635502545"/>
    <n v="149.73725776253212"/>
    <n v="128.60417917348778"/>
    <n v="0.54833504804025957"/>
    <n v="0.9022789835086622"/>
    <n v="258531.76"/>
    <n v="203505.52000000002"/>
    <n v="13987.18"/>
    <n v="6.8731206897975045E-2"/>
    <n v="6532.6"/>
    <n v="3.2100357769165179E-2"/>
    <n v="5392.67"/>
    <n v="2.649888808912898E-2"/>
    <n v="8281.56"/>
    <n v="4.0694522684200402E-2"/>
    <n v="55026.239999999991"/>
    <n v="5151.1899999999996"/>
    <n v="9.3613337927505147E-2"/>
    <n v="4401.26"/>
    <n v="7.9984749094250324E-2"/>
    <n v="2049.4899999999998"/>
    <n v="3.7245684967753566E-2"/>
    <n v="29368.55"/>
    <n v="0.53371900387887672"/>
    <n v="30.164325009873263"/>
    <n v="24.689378300742543"/>
    <n v="167.68908001218972"/>
    <n v="4.8115259274079898E-2"/>
  </r>
  <r>
    <x v="12"/>
    <x v="3"/>
    <x v="31"/>
    <n v="271530.82001476199"/>
    <n v="12729"/>
    <n v="258801.82001476199"/>
    <n v="155358.120314837"/>
    <n v="73667.960018634796"/>
    <n v="81690.160296201706"/>
    <n v="13093.670053482099"/>
    <n v="142264.45026135439"/>
    <n v="83622.310020089106"/>
    <n v="5335.4699821472204"/>
    <n v="1295"/>
    <n v="209.67630889170809"/>
    <n v="140.98304248071483"/>
    <n v="119.96766047477722"/>
    <n v="0.57215648782112594"/>
    <n v="0.91667865152189543"/>
    <n v="210272.88999999998"/>
    <n v="148571.12999999998"/>
    <n v="4203.96"/>
    <n v="2.8295941479343941E-2"/>
    <n v="3068.74"/>
    <n v="2.065502227788131E-2"/>
    <n v="1315.37"/>
    <n v="8.8534697151458706E-3"/>
    <n v="4049.89"/>
    <n v="2.7258929779964657E-2"/>
    <n v="61701.760000000002"/>
    <n v="6845.46"/>
    <n v="0.1109443231441048"/>
    <n v="5452.07"/>
    <n v="8.8361660996380001E-2"/>
    <n v="4583.59"/>
    <n v="7.4286211608874692E-2"/>
    <n v="26849.4"/>
    <n v="0.43514804115798317"/>
    <n v="27.626673577727288"/>
    <n v="20.688181563489941"/>
    <n v="143.56665977249224"/>
    <n v="7.1717434581709261E-2"/>
  </r>
  <r>
    <x v="12"/>
    <x v="2"/>
    <x v="20"/>
    <n v="0"/>
    <n v="0"/>
    <n v="0"/>
    <n v="50"/>
    <n v="0"/>
    <n v="50"/>
    <n v="0"/>
    <n v="50"/>
    <n v="0"/>
    <n v="-100"/>
    <n v="0"/>
    <s v="$0.00"/>
    <s v="$0.00"/>
    <s v="$0.00"/>
    <s v="0.00%"/>
    <n v="0.5"/>
    <n v="-285.58"/>
    <n v="-285.58"/>
    <n v="0"/>
    <n v="0"/>
    <n v="0"/>
    <n v="0"/>
    <n v="0"/>
    <n v="0"/>
    <n v="-285.58"/>
    <n v="0"/>
    <n v="0"/>
    <n v="0"/>
    <s v="0.00%"/>
    <n v="0"/>
    <s v="0.00%"/>
    <n v="0"/>
    <n v="0"/>
    <n v="0"/>
    <s v="0.00%"/>
    <n v="0"/>
    <n v="0"/>
    <n v="0"/>
    <n v="0"/>
  </r>
  <r>
    <x v="12"/>
    <x v="2"/>
    <x v="21"/>
    <n v="208496.5"/>
    <n v="18153"/>
    <n v="190343.5"/>
    <n v="127729.840942979"/>
    <n v="50724.820531487501"/>
    <n v="77005.020411491394"/>
    <n v="15845.690073609399"/>
    <n v="111884.15086936949"/>
    <n v="67441.329286575303"/>
    <n v="3506.1899958029398"/>
    <n v="995"/>
    <n v="209.54422110552764"/>
    <n v="138.24018162575049"/>
    <n v="128.37169944017978"/>
    <n v="0.61262342985603546"/>
    <n v="1.0495183841544142"/>
    <n v="143261.76999999999"/>
    <n v="111534.85999999999"/>
    <n v="4459.74"/>
    <n v="3.9985166969322417E-2"/>
    <n v="2393.65"/>
    <n v="2.1461003313224227E-2"/>
    <n v="1803.61"/>
    <n v="1.6170818701883877E-2"/>
    <n v="11151.36"/>
    <n v="9.9980938694861882E-2"/>
    <n v="31726.909999999996"/>
    <n v="4605.7"/>
    <n v="0.14516698915841475"/>
    <n v="2188.9899999999998"/>
    <n v="6.8994742948493878E-2"/>
    <n v="1882.34"/>
    <n v="5.9329446201978074E-2"/>
    <n v="11984.62"/>
    <n v="0.37774305786475904"/>
    <n v="22.843970032874541"/>
    <n v="19.368828344709481"/>
    <n v="61.864587485917312"/>
    <n v="0.11520034529473884"/>
  </r>
  <r>
    <x v="12"/>
    <x v="3"/>
    <x v="32"/>
    <n v="117138.090001583"/>
    <n v="5789"/>
    <n v="111349.090001583"/>
    <n v="62936.930153966001"/>
    <n v="29077.330011844599"/>
    <n v="33859.6001421213"/>
    <n v="3203.5199937820398"/>
    <n v="59733.410160183863"/>
    <n v="48361.899997711203"/>
    <n v="22.090000152586999"/>
    <n v="482"/>
    <n v="243.0250829908361"/>
    <n v="142.64336100356684"/>
    <n v="130.57454388789606"/>
    <n v="0.53728834193143638"/>
    <n v="0.96012773867790258"/>
    <n v="68670.600000000006"/>
    <n v="57930.559999999998"/>
    <n v="665.47"/>
    <n v="1.1487373848966764E-2"/>
    <n v="841.4"/>
    <n v="1.4524285627482283E-2"/>
    <n v="399.52"/>
    <n v="6.8965326763628732E-3"/>
    <n v="-963.97"/>
    <n v="0"/>
    <n v="10740.04"/>
    <n v="916.82"/>
    <n v="8.5364672757270915E-2"/>
    <n v="899.1"/>
    <n v="8.3714772012022293E-2"/>
    <n v="677.53"/>
    <n v="6.3084495029813656E-2"/>
    <n v="1289.76"/>
    <n v="0.120088938216245"/>
    <n v="22.57300414547197"/>
    <n v="20.008479641698209"/>
    <n v="73.13335855337823"/>
    <n v="4.6593875763172629E-2"/>
  </r>
  <r>
    <x v="12"/>
    <x v="4"/>
    <x v="43"/>
    <n v="0"/>
    <n v="0"/>
    <n v="0"/>
    <n v="0"/>
    <n v="0"/>
    <n v="0"/>
    <n v="0"/>
    <n v="0"/>
    <n v="0"/>
    <n v="0"/>
    <n v="0"/>
    <s v="$0.00"/>
    <s v="$0.00"/>
    <s v="$0.00"/>
    <s v="0.00%"/>
    <s v="0.00%"/>
    <n v="-24"/>
    <n v="0"/>
    <n v="0"/>
    <s v="0.00%"/>
    <n v="0"/>
    <s v="0.00%"/>
    <n v="0"/>
    <n v="0"/>
    <n v="0"/>
    <s v="0.00%"/>
    <n v="-24"/>
    <n v="0"/>
    <n v="0"/>
    <n v="0"/>
    <n v="0"/>
    <n v="0"/>
    <n v="0"/>
    <n v="-24"/>
    <n v="1"/>
    <n v="0"/>
    <n v="0"/>
    <n v="0"/>
    <s v="0.00%"/>
  </r>
  <r>
    <x v="12"/>
    <x v="4"/>
    <x v="44"/>
    <n v="201397.94000368001"/>
    <n v="10884"/>
    <n v="190513.94000368001"/>
    <n v="127559.010181993"/>
    <n v="64706.930036872604"/>
    <n v="62852.080145120599"/>
    <n v="12161.540006637601"/>
    <n v="115397.4701753556"/>
    <n v="75438.250101089507"/>
    <n v="2429.6300012469301"/>
    <n v="1031"/>
    <n v="195.34232784062075"/>
    <n v="119.81577100033324"/>
    <n v="123.72357922598759"/>
    <n v="0.63336799859850801"/>
    <n v="1.1453776193002712"/>
    <n v="143491.85"/>
    <n v="113553.22"/>
    <n v="7735.75"/>
    <n v="6.8124444203343598E-2"/>
    <n v="1411.5"/>
    <n v="1.2430294799213972E-2"/>
    <n v="4573.28"/>
    <n v="4.0274331278320419E-2"/>
    <n v="3383.5"/>
    <n v="2.9796601100347483E-2"/>
    <n v="29938.629999999997"/>
    <n v="2663.74"/>
    <n v="8.8973343135607744E-2"/>
    <n v="3030.35"/>
    <n v="0.10121872644139028"/>
    <n v="1166.44"/>
    <n v="3.8961034623160785E-2"/>
    <n v="11825.55"/>
    <n v="0.39499302406289133"/>
    <n v="22.556904792050069"/>
    <n v="18.879406584271841"/>
    <n v="86.361432692307687"/>
    <n v="9.8450045408788198E-2"/>
  </r>
  <r>
    <x v="12"/>
    <x v="4"/>
    <x v="45"/>
    <n v="100758.56000854399"/>
    <n v="5082"/>
    <n v="95676.560008544504"/>
    <n v="60323.100133895903"/>
    <n v="29594.3400192261"/>
    <n v="30728.7601146698"/>
    <n v="2942.9100140333198"/>
    <n v="57380.190119862586"/>
    <n v="35271.300025939898"/>
    <n v="1533.04000508785"/>
    <n v="469"/>
    <n v="214.8370149435917"/>
    <n v="136.36294238276494"/>
    <n v="128.62068258826417"/>
    <n v="0.59868958159763697"/>
    <n v="0.98871996306915155"/>
    <n v="67556.44"/>
    <n v="50820.72"/>
    <n v="1225.6199999999999"/>
    <n v="2.4116541442151938E-2"/>
    <n v="1707.92"/>
    <n v="3.3606765114701245E-2"/>
    <n v="1033.6099999999999"/>
    <n v="2.0338358055533252E-2"/>
    <n v="1606"/>
    <n v="3.1601283885785168E-2"/>
    <n v="16735.72"/>
    <n v="940.75"/>
    <n v="5.6212102018915223E-2"/>
    <n v="1118.31"/>
    <n v="6.6821744149639206E-2"/>
    <n v="1777.24"/>
    <n v="0.1061944152985351"/>
    <n v="8031.93"/>
    <n v="0.47992736494157406"/>
    <n v="23.19953583126571"/>
    <n v="18.783943925930974"/>
    <n v="81.070821895688695"/>
    <n v="4.601588472297731E-2"/>
  </r>
  <r>
    <x v="12"/>
    <x v="2"/>
    <x v="22"/>
    <n v="0"/>
    <n v="0"/>
    <n v="0"/>
    <n v="83.950000762938998"/>
    <n v="83.950000762938998"/>
    <n v="0"/>
    <n v="0"/>
    <n v="83.950000762938998"/>
    <n v="107.97999763488799"/>
    <n v="-191.93000030517601"/>
    <n v="0"/>
    <s v="$0.00"/>
    <s v="$0.00"/>
    <s v="$0.00"/>
    <s v="0.00%"/>
    <n v="0.99999997727994094"/>
    <n v="-167"/>
    <n v="-167"/>
    <n v="0"/>
    <n v="0"/>
    <n v="0"/>
    <n v="0"/>
    <n v="0"/>
    <n v="0"/>
    <n v="-167"/>
    <n v="0"/>
    <n v="0"/>
    <n v="0"/>
    <s v="0.00%"/>
    <n v="0"/>
    <s v="0.00%"/>
    <n v="0"/>
    <n v="0"/>
    <n v="0"/>
    <s v="0.00%"/>
    <n v="0"/>
    <n v="0"/>
    <n v="0"/>
    <n v="0"/>
  </r>
  <r>
    <x v="12"/>
    <x v="2"/>
    <x v="23"/>
    <n v="157852.51999999999"/>
    <n v="8250"/>
    <n v="149602.51999999999"/>
    <n v="84307.360663166299"/>
    <n v="40749.020395448402"/>
    <n v="43558.340267717802"/>
    <n v="8685.0500178337097"/>
    <n v="75622.310645332502"/>
    <n v="55907.069386253097"/>
    <n v="2094.5900108665201"/>
    <n v="735"/>
    <n v="214.76533333333333"/>
    <n v="135.85151102432701"/>
    <n v="114.70389205872954"/>
    <n v="0.53408941880158911"/>
    <n v="0.92476949551737553"/>
    <n v="125234.13"/>
    <n v="91004.63"/>
    <n v="3059.11"/>
    <n v="3.3614883110892273E-2"/>
    <n v="2372.62"/>
    <n v="2.6071420761778822E-2"/>
    <n v="850.39"/>
    <n v="9.3444696165458831E-3"/>
    <n v="8580.7900000000009"/>
    <n v="9.4289598232529498E-2"/>
    <n v="34229.5"/>
    <n v="2973.13"/>
    <n v="8.6858703749689598E-2"/>
    <n v="1937.87"/>
    <n v="5.6614031756233654E-2"/>
    <n v="1410.29"/>
    <n v="4.1201010823996846E-2"/>
    <n v="11781.74"/>
    <n v="0.34419842533487194"/>
    <n v="25.87561980220968"/>
    <n v="19.670838593633974"/>
    <n v="160.34221620777598"/>
    <n v="8.698022195697705E-2"/>
  </r>
  <r>
    <x v="12"/>
    <x v="3"/>
    <x v="52"/>
    <n v="64472.130000114397"/>
    <n v="4660"/>
    <n v="59812.130000114397"/>
    <n v="31900.719998359698"/>
    <n v="14941.7499628067"/>
    <n v="16958.970035553"/>
    <n v="1503.9000039100599"/>
    <n v="30396.819994449641"/>
    <n v="23236.8800296187"/>
    <n v="0"/>
    <n v="255"/>
    <n v="252.8318823533898"/>
    <n v="161.70686262939492"/>
    <n v="125.1008627386655"/>
    <n v="0.49479860520046565"/>
    <n v="0.80291054860175759"/>
    <n v="38548.750000000007"/>
    <n v="35596.670000000006"/>
    <n v="0"/>
    <n v="0"/>
    <n v="0"/>
    <n v="0"/>
    <n v="0"/>
    <n v="0"/>
    <n v="0"/>
    <n v="0"/>
    <n v="2952.08"/>
    <n v="0"/>
    <n v="0"/>
    <n v="0"/>
    <n v="0"/>
    <n v="0"/>
    <n v="0"/>
    <n v="0"/>
    <n v="0"/>
    <n v="29.171914544511985"/>
    <n v="28.995116617354096"/>
    <n v="23.585193075898804"/>
    <n v="3.6471223164310097E-2"/>
  </r>
  <r>
    <x v="12"/>
    <x v="3"/>
    <x v="55"/>
    <n v="25406.880001068101"/>
    <n v="1520"/>
    <n v="23886.880001068101"/>
    <n v="14320.4199762344"/>
    <n v="7890.4899635314896"/>
    <n v="6429.9300127029401"/>
    <n v="503.72000455856301"/>
    <n v="13816.699971675866"/>
    <n v="10320.2999801636"/>
    <n v="0"/>
    <n v="97"/>
    <n v="261.92659794915568"/>
    <n v="155.53175279282991"/>
    <n v="147.63319563128277"/>
    <n v="0.5636433901223763"/>
    <n v="0.9820035274413017"/>
    <n v="12615.429999999998"/>
    <n v="11566.189999999999"/>
    <n v="0"/>
    <n v="0"/>
    <n v="0"/>
    <n v="0"/>
    <n v="0"/>
    <n v="0"/>
    <n v="0"/>
    <n v="0"/>
    <n v="1049.24"/>
    <n v="0"/>
    <n v="0"/>
    <n v="0"/>
    <n v="0"/>
    <n v="0"/>
    <n v="0"/>
    <n v="0"/>
    <n v="0"/>
    <n v="15.720201171492205"/>
    <n v="15.143987283410773"/>
    <n v="27.077161290322579"/>
    <n v="3.3388614507767214E-2"/>
  </r>
  <r>
    <x v="12"/>
    <x v="3"/>
    <x v="33"/>
    <n v="170615.74000501601"/>
    <n v="14353"/>
    <n v="156262.74000501601"/>
    <n v="90377.930163815603"/>
    <n v="37300.220026493102"/>
    <n v="53077.710137322501"/>
    <n v="5308.6900143623398"/>
    <n v="85069.240149453268"/>
    <n v="56778.529923915899"/>
    <n v="3148.7699880599998"/>
    <n v="669"/>
    <n v="255.03100150226607"/>
    <n v="165.45357263533649"/>
    <n v="135.09406601467205"/>
    <n v="0.52971625103966691"/>
    <n v="0.85764039197605191"/>
    <n v="91749.74000000002"/>
    <n v="67552.090000000011"/>
    <n v="2110.62"/>
    <n v="3.1244333076889251E-2"/>
    <n v="987.74"/>
    <n v="1.4621901409712118E-2"/>
    <n v="41.05"/>
    <n v="6.0767919985895314E-4"/>
    <n v="568.74"/>
    <n v="8.4192805877656776E-3"/>
    <n v="24197.65"/>
    <n v="2642.82"/>
    <n v="0.10921804390095732"/>
    <n v="974.5"/>
    <n v="4.0272505801183169E-2"/>
    <n v="1179.32"/>
    <n v="4.8736964126681714E-2"/>
    <n v="8385.67"/>
    <n v="0.34654894173607764"/>
    <n v="20.068416298459706"/>
    <n v="15.924573421801783"/>
    <n v="73.360792966381467"/>
    <n v="4.796065433662336E-2"/>
  </r>
  <r>
    <x v="12"/>
    <x v="3"/>
    <x v="34"/>
    <n v="153998.68000555001"/>
    <n v="4929"/>
    <n v="149069.68000555001"/>
    <n v="83154.730090618104"/>
    <n v="41921.879987716697"/>
    <n v="41232.850102901502"/>
    <n v="4946.2100247144699"/>
    <n v="78208.520065903722"/>
    <n v="50613.160079956098"/>
    <n v="657.410004377365"/>
    <n v="709"/>
    <n v="217.20547250430184"/>
    <n v="144.89155136983999"/>
    <n v="117.28452763133737"/>
    <n v="0.53997040810753283"/>
    <n v="0.85041025157655858"/>
    <n v="105571.11"/>
    <n v="84903.17"/>
    <n v="2488.8200000000002"/>
    <n v="2.9313628690189074E-2"/>
    <n v="2645.55"/>
    <n v="3.1159613946098834E-2"/>
    <n v="1878.79"/>
    <n v="2.2128620168127999E-2"/>
    <n v="767.11"/>
    <n v="9.0351161211059614E-3"/>
    <n v="20667.939999999999"/>
    <n v="1907.98"/>
    <n v="9.2315925051069447E-2"/>
    <n v="2550.63"/>
    <n v="0.12340997699819141"/>
    <n v="1554.86"/>
    <n v="7.5230526119197172E-2"/>
    <n v="6785.64"/>
    <n v="0.32831719077953586"/>
    <n v="26.011299394973811"/>
    <n v="21.642549242938049"/>
    <n v="152.31858827382902"/>
    <n v="4.814855474813836E-2"/>
  </r>
  <r>
    <x v="12"/>
    <x v="3"/>
    <x v="50"/>
    <n v="72159.569999218002"/>
    <n v="3319"/>
    <n v="68840.569999218002"/>
    <n v="40326.340043544798"/>
    <n v="14792.7499551773"/>
    <n v="25533.590088367499"/>
    <n v="2463.0600110292398"/>
    <n v="37863.280032515555"/>
    <n v="24163.200042724598"/>
    <n v="0"/>
    <n v="327"/>
    <n v="220.67146788751683"/>
    <n v="146.77788977520919"/>
    <n v="123.3221408059474"/>
    <n v="0.55884950594885496"/>
    <n v="0.88564481896537239"/>
    <n v="47930.3"/>
    <n v="45984.43"/>
    <n v="1541.83"/>
    <n v="3.3529392448704919E-2"/>
    <n v="2575.38"/>
    <n v="5.6005478376050327E-2"/>
    <n v="1018.5"/>
    <n v="2.2148801235548642E-2"/>
    <n v="0"/>
    <n v="0"/>
    <n v="1945.87"/>
    <n v="689.39"/>
    <n v="0.35428368801615728"/>
    <n v="1004.89"/>
    <n v="0.516421960357064"/>
    <n v="387.35"/>
    <n v="0.19906263008320188"/>
    <n v="0"/>
    <n v="0"/>
    <n v="23.99778966025476"/>
    <n v="24.313922530182008"/>
    <n v="18.357264150943394"/>
    <n v="5.1317631172146876E-2"/>
  </r>
  <r>
    <x v="12"/>
    <x v="2"/>
    <x v="24"/>
    <n v="105711.02"/>
    <n v="9721"/>
    <n v="95990.019999999597"/>
    <n v="63707.060506522699"/>
    <n v="24020.680302143101"/>
    <n v="39686.380204379602"/>
    <n v="6524.0900378227198"/>
    <n v="57182.970468699976"/>
    <n v="31138.5296058655"/>
    <n v="580.38999617099796"/>
    <n v="495"/>
    <n v="213.55761616161536"/>
    <n v="149.47899070295577"/>
    <n v="128.7011323364095"/>
    <n v="0.60265297323328204"/>
    <n v="0.94425580606954396"/>
    <n v="80656.91"/>
    <n v="57451.710000000006"/>
    <n v="3558.9"/>
    <n v="6.1945936857231917E-2"/>
    <n v="748.93"/>
    <n v="1.3035817384721879E-2"/>
    <n v="2204.1999999999998"/>
    <n v="3.8366133923602962E-2"/>
    <n v="6881.37"/>
    <n v="0.11977659150615359"/>
    <n v="23205.200000000004"/>
    <n v="1839.79"/>
    <n v="7.9283522658714412E-2"/>
    <n v="3083.8"/>
    <n v="0.13289262751452258"/>
    <n v="1440.36"/>
    <n v="6.2070570389395466E-2"/>
    <n v="9423.76"/>
    <n v="0.4061055280712943"/>
    <n v="25.425799330722995"/>
    <n v="20.059393512274255"/>
    <n v="75.300811249323971"/>
    <n v="8.8172791456563149E-2"/>
  </r>
  <r>
    <x v="12"/>
    <x v="4"/>
    <x v="46"/>
    <n v="0"/>
    <n v="0"/>
    <n v="0"/>
    <n v="5"/>
    <n v="0"/>
    <n v="5"/>
    <n v="0"/>
    <n v="5"/>
    <n v="0"/>
    <n v="-64.510000467300003"/>
    <n v="0"/>
    <s v="$0.00"/>
    <s v="$0.00"/>
    <s v="$0.00"/>
    <s v="0.00%"/>
    <n v="7.7507362638053162E-2"/>
    <n v="-83.91"/>
    <n v="0"/>
    <n v="0"/>
    <s v="0.00%"/>
    <n v="0"/>
    <s v="0.00%"/>
    <n v="0"/>
    <n v="0"/>
    <n v="0"/>
    <s v="0.00%"/>
    <n v="-83.91"/>
    <n v="0"/>
    <n v="0"/>
    <n v="0"/>
    <n v="0"/>
    <n v="0"/>
    <n v="0"/>
    <n v="-83.91"/>
    <n v="1"/>
    <n v="0"/>
    <n v="0"/>
    <n v="0"/>
    <n v="0"/>
  </r>
  <r>
    <x v="12"/>
    <x v="4"/>
    <x v="47"/>
    <n v="194874.660009496"/>
    <n v="11302"/>
    <n v="183572.660009496"/>
    <n v="111977.800190935"/>
    <n v="55216.4000880811"/>
    <n v="56761.400102853797"/>
    <n v="7025.2100163698196"/>
    <n v="104952.59017456508"/>
    <n v="64665.739953994802"/>
    <n v="3608.7899924516701"/>
    <n v="864"/>
    <n v="225.54937501099073"/>
    <n v="146.52792831371474"/>
    <n v="129.60393540617466"/>
    <n v="0.57461447365952223"/>
    <n v="0.93646560789855393"/>
    <n v="167365.63"/>
    <n v="139619.76"/>
    <n v="7590.87"/>
    <n v="5.4368163933242682E-2"/>
    <n v="5329.79"/>
    <n v="3.8173608091003737E-2"/>
    <n v="5600.53"/>
    <n v="4.0112731894110111E-2"/>
    <n v="6146.6"/>
    <n v="4.4023854503116175E-2"/>
    <n v="27745.870000000003"/>
    <n v="2857.42"/>
    <n v="0.10298541728913167"/>
    <n v="2569.0300000000002"/>
    <n v="9.2591437932924792E-2"/>
    <n v="2656.83"/>
    <n v="9.5755872856032251E-2"/>
    <n v="10745.64"/>
    <n v="0.38728790987631667"/>
    <n v="28.3411592634572"/>
    <n v="24.963393395620617"/>
    <n v="88.812046093110936"/>
    <n v="5.5491333325416947E-2"/>
  </r>
  <r>
    <x v="12"/>
    <x v="0"/>
    <x v="10"/>
    <n v="231649.82000839"/>
    <n v="13456"/>
    <n v="218193.82000839"/>
    <n v="134937.55985639201"/>
    <n v="74548.749818302706"/>
    <n v="60388.810038089803"/>
    <n v="9083.3600666522998"/>
    <n v="125854.1997897402"/>
    <n v="81458.090191386596"/>
    <n v="8063.0799884200096"/>
    <n v="1184"/>
    <n v="195.65018581789695"/>
    <n v="120.0410893822495"/>
    <n v="113.96753366249366"/>
    <n v="0.58250664667689045"/>
    <n v="1.0142227514994886"/>
    <n v="253367.59999999998"/>
    <n v="191299.49999999997"/>
    <n v="9930.4"/>
    <n v="5.1910224543190137E-2"/>
    <n v="4442.8100000000004"/>
    <n v="2.3224368072054559E-2"/>
    <n v="2530.08"/>
    <n v="1.322575333443109E-2"/>
    <n v="12624.75"/>
    <n v="6.5994683728917231E-2"/>
    <n v="62068.1"/>
    <n v="6136.01"/>
    <n v="9.8859317427148569E-2"/>
    <n v="6255.91"/>
    <n v="0.10079106658653962"/>
    <n v="6009.01"/>
    <n v="9.6813177783756879E-2"/>
    <n v="31726.46"/>
    <n v="0.51115565000378616"/>
    <n v="36.228023227793521"/>
    <n v="28.707930170358463"/>
    <n v="188.05982359278212"/>
    <n v="6.3909423452677805E-2"/>
  </r>
  <r>
    <x v="12"/>
    <x v="0"/>
    <x v="11"/>
    <n v="0"/>
    <n v="0"/>
    <n v="0"/>
    <n v="0"/>
    <n v="0"/>
    <n v="0"/>
    <n v="0"/>
    <n v="0"/>
    <n v="0"/>
    <n v="0"/>
    <n v="0"/>
    <s v="$0.00"/>
    <s v="$0.00"/>
    <s v="$0.00"/>
    <s v="0.00%"/>
    <s v="0.00%"/>
    <n v="-34"/>
    <n v="0"/>
    <n v="0"/>
    <s v="0.00%"/>
    <n v="0"/>
    <s v="0.00%"/>
    <n v="0"/>
    <n v="0"/>
    <n v="0"/>
    <s v="0.00%"/>
    <n v="-34"/>
    <n v="0"/>
    <n v="0"/>
    <n v="0"/>
    <n v="0"/>
    <n v="0"/>
    <n v="0"/>
    <n v="-34"/>
    <n v="1"/>
    <n v="0"/>
    <n v="0"/>
    <n v="0"/>
    <s v="0.00%"/>
  </r>
  <r>
    <x v="12"/>
    <x v="0"/>
    <x v="12"/>
    <n v="287364.84000625298"/>
    <n v="22919.7899999619"/>
    <n v="264445.05000629101"/>
    <n v="159843.74009683699"/>
    <n v="77547.049951344699"/>
    <n v="82296.690145492597"/>
    <n v="10162.6900141239"/>
    <n v="149681.05008271339"/>
    <n v="94286.540082571999"/>
    <n v="9418.7299891114199"/>
    <n v="1367"/>
    <n v="210.21568398409138"/>
    <n v="134.35228232228931"/>
    <n v="116.93031462826428"/>
    <n v="0.55623972679942035"/>
    <n v="0.92130613628401403"/>
    <n v="281724.50999999995"/>
    <n v="218754.51999999996"/>
    <n v="11197.11"/>
    <n v="5.1185730927982669E-2"/>
    <n v="5027.8999999999996"/>
    <n v="2.2984210794821523E-2"/>
    <n v="4596.3"/>
    <n v="2.1011222990958089E-2"/>
    <n v="6550.21"/>
    <n v="2.994319843082557E-2"/>
    <n v="62969.99"/>
    <n v="5588.5"/>
    <n v="8.8748624543214957E-2"/>
    <n v="4626.8900000000003"/>
    <n v="7.34776994565189E-2"/>
    <n v="3633.6"/>
    <n v="5.7703677577207811E-2"/>
    <n v="33436.75"/>
    <n v="0.5309950025400989"/>
    <n v="35.026329624997935"/>
    <n v="29.530202078321384"/>
    <n v="99.103275481614858"/>
    <n v="5.5334388606836295E-2"/>
  </r>
  <r>
    <x v="12"/>
    <x v="4"/>
    <x v="49"/>
    <n v="152423.72000503499"/>
    <n v="7062"/>
    <n v="145361.72000503499"/>
    <n v="91594.600024938598"/>
    <n v="51315.409956216798"/>
    <n v="40279.1900687218"/>
    <n v="6160.9999938011197"/>
    <n v="85433.600031137481"/>
    <n v="61028.090025425001"/>
    <n v="3138.6599884331199"/>
    <n v="747"/>
    <n v="204.04781794516063"/>
    <n v="118.14855420505604"/>
    <n v="122.61659976564739"/>
    <n v="0.60092090667983278"/>
    <n v="1.1157015384295534"/>
    <n v="128721.45999999999"/>
    <n v="93588.9"/>
    <n v="1829.02"/>
    <n v="1.9543129580537864E-2"/>
    <n v="2605.31"/>
    <n v="2.7837809825737882E-2"/>
    <n v="1127.4000000000001"/>
    <n v="1.2046300362542995E-2"/>
    <n v="7006.89"/>
    <n v="7.4868814570958744E-2"/>
    <n v="35132.559999999998"/>
    <n v="2964.99"/>
    <n v="8.4394362380652024E-2"/>
    <n v="3678.47"/>
    <n v="0.104702589279005"/>
    <n v="1842.01"/>
    <n v="5.2430281197840413E-2"/>
    <n v="17446.46"/>
    <n v="0.49658948849728002"/>
    <n v="26.25480977387231"/>
    <n v="20.168578937348435"/>
    <n v="133.86665537679932"/>
    <n v="6.9807517688597748E-2"/>
  </r>
  <r>
    <x v="12"/>
    <x v="0"/>
    <x v="13"/>
    <n v="195518.70000579799"/>
    <n v="9108"/>
    <n v="186410.70000579799"/>
    <n v="110145.200242668"/>
    <n v="52883.580106049798"/>
    <n v="57261.6201366186"/>
    <n v="7130.7600417137101"/>
    <n v="103014.44020095468"/>
    <n v="59512.439933866299"/>
    <n v="3407.14998310804"/>
    <n v="908"/>
    <n v="215.32896476409471"/>
    <n v="146.03426221236086"/>
    <n v="121.30528661086827"/>
    <n v="0.56334867324405336"/>
    <n v="0.87787238934210798"/>
    <n v="189153.34"/>
    <n v="132421.06"/>
    <n v="6242"/>
    <n v="4.7137517249899674E-2"/>
    <n v="2525.42"/>
    <n v="1.9071135663768286E-2"/>
    <n v="3323.78"/>
    <n v="2.5100086043715403E-2"/>
    <n v="8478.98"/>
    <n v="6.4030449537256381E-2"/>
    <n v="56732.28"/>
    <n v="7745.22"/>
    <n v="0.13652227620677329"/>
    <n v="5846.25"/>
    <n v="0.10304979810435963"/>
    <n v="3032.38"/>
    <n v="5.3450698614615877E-2"/>
    <n v="25127.57"/>
    <n v="0.44291486257911722"/>
    <n v="32.064462302123246"/>
    <n v="23.741335894268076"/>
    <n v="176.46121306376361"/>
    <n v="5.3776831812348179E-2"/>
  </r>
  <r>
    <x v="12"/>
    <x v="0"/>
    <x v="14"/>
    <n v="0"/>
    <n v="0"/>
    <n v="0"/>
    <n v="10"/>
    <n v="0"/>
    <n v="10"/>
    <n v="0"/>
    <n v="10"/>
    <n v="0"/>
    <n v="-10.810000002383999"/>
    <n v="0"/>
    <s v="$0.00"/>
    <s v="$0.00"/>
    <s v="$0.00"/>
    <s v="0.00%"/>
    <n v="0.92506937999950367"/>
    <n v="-9"/>
    <n v="1"/>
    <n v="246"/>
    <n v="0"/>
    <n v="0"/>
    <n v="0"/>
    <n v="0"/>
    <n v="0"/>
    <n v="-245"/>
    <n v="0"/>
    <n v="-10"/>
    <n v="0"/>
    <n v="0"/>
    <n v="0"/>
    <n v="0"/>
    <n v="0"/>
    <n v="0"/>
    <n v="-10"/>
    <n v="1"/>
    <n v="0"/>
    <n v="0"/>
    <n v="0"/>
    <n v="0"/>
  </r>
  <r>
    <x v="12"/>
    <x v="3"/>
    <x v="35"/>
    <n v="161794.27000190699"/>
    <n v="13053"/>
    <n v="148741.27000190699"/>
    <n v="88809.040119647994"/>
    <n v="35863.839992523201"/>
    <n v="52945.200127124801"/>
    <n v="5259.8500182628604"/>
    <n v="83549.190101385146"/>
    <n v="49110.850162506104"/>
    <n v="90.25"/>
    <n v="690"/>
    <n v="234.48444927812608"/>
    <n v="163.17850701362448"/>
    <n v="128.70875379659131"/>
    <n v="0.54890102176425193"/>
    <n v="0.82741352142690483"/>
    <n v="93345.19"/>
    <n v="72921.72"/>
    <n v="1530.4"/>
    <n v="2.0986888405813798E-2"/>
    <n v="1325.24"/>
    <n v="1.8173460527261289E-2"/>
    <n v="785.85"/>
    <n v="1.0776624577697838E-2"/>
    <n v="-132.19"/>
    <n v="-1.8127657987222461E-3"/>
    <n v="20423.47"/>
    <n v="1974.22"/>
    <n v="9.6664278890903454E-2"/>
    <n v="1468.11"/>
    <n v="7.1883475237067937E-2"/>
    <n v="1292.1400000000001"/>
    <n v="6.326740754631803E-2"/>
    <n v="7531.11"/>
    <n v="0.36874781807400991"/>
    <n v="23.019253323412023"/>
    <n v="18.64977643937403"/>
    <n v="8.5012381770571377"/>
    <n v="4.6715533684372985E-2"/>
  </r>
  <r>
    <x v="12"/>
    <x v="0"/>
    <x v="16"/>
    <n v="148853.120003013"/>
    <n v="8797"/>
    <n v="140056.120003013"/>
    <n v="82791.350108422295"/>
    <n v="29112.480036772798"/>
    <n v="53678.870071649602"/>
    <n v="7531.3200114965402"/>
    <n v="75260.030096925853"/>
    <n v="34056.130033941903"/>
    <n v="1018.66999351978"/>
    <n v="665"/>
    <n v="223.83927820001955"/>
    <n v="171.09521800834781"/>
    <n v="124.49827083973292"/>
    <n v="0.556194926292083"/>
    <n v="0.77923470908761827"/>
    <n v="111324.83"/>
    <n v="88715.8"/>
    <n v="3562.68"/>
    <n v="4.0158348343812489E-2"/>
    <n v="1787.71"/>
    <n v="2.0150976488968141E-2"/>
    <n v="981.24"/>
    <n v="1.1060487534351265E-2"/>
    <n v="3530.87"/>
    <n v="3.9799787636475126E-2"/>
    <n v="22609.03"/>
    <n v="4827.03"/>
    <n v="0.21350009266209122"/>
    <n v="2596.5500000000002"/>
    <n v="0.11484570545485588"/>
    <n v="1821.35"/>
    <n v="8.0558520201883935E-2"/>
    <n v="6482.9"/>
    <n v="0.28673941341136705"/>
    <n v="25.044912306344148"/>
    <n v="21.210868294360989"/>
    <n v="86.147870448772224"/>
    <n v="6.6192926852100389E-2"/>
  </r>
  <r>
    <x v="12"/>
    <x v="2"/>
    <x v="25"/>
    <n v="104225.5"/>
    <n v="7778"/>
    <n v="96447.5"/>
    <n v="59002.760535478599"/>
    <n v="24975.3602633476"/>
    <n v="34027.400272131003"/>
    <n v="7341.84003853798"/>
    <n v="51660.920496940627"/>
    <n v="32906.329572677598"/>
    <n v="927.60000324249302"/>
    <n v="506"/>
    <n v="205.97924901185772"/>
    <n v="139.11377554165989"/>
    <n v="116.60624611754665"/>
    <n v="0.56610676404026472"/>
    <n v="0.93581305066149267"/>
    <n v="73386.049999999988"/>
    <n v="53491.03"/>
    <n v="1467.7"/>
    <n v="2.7438245253456516E-2"/>
    <n v="1686.49"/>
    <n v="3.152846374429507E-2"/>
    <n v="1889.57"/>
    <n v="3.5324988133524443E-2"/>
    <n v="6733.94"/>
    <n v="0.12588914440421131"/>
    <n v="19895.019999999997"/>
    <n v="1183.97"/>
    <n v="5.9510872570120575E-2"/>
    <n v="1391.3"/>
    <n v="6.993207345355773E-2"/>
    <n v="1604.76"/>
    <n v="8.0661391644743272E-2"/>
    <n v="7872.32"/>
    <n v="0.39569299251772561"/>
    <n v="24.014021749800932"/>
    <n v="18.834869718309861"/>
    <n v="92.12079024540823"/>
    <n v="0.10429998925022485"/>
  </r>
  <r>
    <x v="12"/>
    <x v="2"/>
    <x v="26"/>
    <n v="137585.51"/>
    <n v="6619"/>
    <n v="130966.51"/>
    <n v="73757.680667854802"/>
    <n v="31391.620362162601"/>
    <n v="42366.060305692299"/>
    <n v="7448.6400561332703"/>
    <n v="66309.040611721633"/>
    <n v="43127.379537582397"/>
    <n v="1963.9000064060101"/>
    <n v="610"/>
    <n v="225.55001639344263"/>
    <n v="151.62988599346164"/>
    <n v="120.91423060304082"/>
    <n v="0.53608610868873396"/>
    <n v="0.86727225151887977"/>
    <n v="78516.84"/>
    <n v="61035.090000000004"/>
    <n v="1947.01"/>
    <n v="3.1899846465369343E-2"/>
    <n v="2606.4699999999998"/>
    <n v="4.2704450833119106E-2"/>
    <n v="476.88"/>
    <n v="7.8132104007710961E-3"/>
    <n v="3811.72"/>
    <n v="6.2451288267126329E-2"/>
    <n v="17481.75"/>
    <n v="1747.41"/>
    <n v="9.9956240078939468E-2"/>
    <n v="2024.2"/>
    <n v="0.11578932315128634"/>
    <n v="827.35"/>
    <n v="4.7326497633246103E-2"/>
    <n v="5536.7"/>
    <n v="0.3167131437070087"/>
    <n v="21.165221255935595"/>
    <n v="17.524498898559965"/>
    <n v="77.057375844842795"/>
    <n v="8.0530861432224071E-2"/>
  </r>
  <r>
    <x v="12"/>
    <x v="2"/>
    <x v="27"/>
    <n v="161563"/>
    <n v="10882"/>
    <n v="150681"/>
    <n v="93843.330850291997"/>
    <n v="45481.770570565001"/>
    <n v="48361.560279726997"/>
    <n v="9564.8700766563397"/>
    <n v="84278.460773635656"/>
    <n v="52712.299328040302"/>
    <n v="1984.3400148749399"/>
    <n v="806"/>
    <n v="200.45037220843673"/>
    <n v="132.58853679539052"/>
    <n v="116.43093157604466"/>
    <n v="0.58084667188831596"/>
    <n v="0.9644593344921274"/>
    <n v="105821.82000000002"/>
    <n v="80486.74000000002"/>
    <n v="2690"/>
    <n v="3.3421654299826277E-2"/>
    <n v="2497.9899999999998"/>
    <n v="3.1036043949599638E-2"/>
    <n v="2882.64"/>
    <n v="3.5815092026338737E-2"/>
    <n v="6001.18"/>
    <n v="7.4561101617483805E-2"/>
    <n v="25335.08"/>
    <n v="1488.08"/>
    <n v="5.8735950310794351E-2"/>
    <n v="2790.69"/>
    <n v="0.11015122115264683"/>
    <n v="1249.26"/>
    <n v="4.9309494976925272E-2"/>
    <n v="10171.299999999999"/>
    <n v="0.40147100384131407"/>
    <n v="23.806427809932803"/>
    <n v="19.389956515978273"/>
    <n v="86.131424470214938"/>
    <n v="8.9503095434758137E-2"/>
  </r>
  <r>
    <x v="12"/>
    <x v="3"/>
    <x v="36"/>
    <n v="119319.700001488"/>
    <n v="7216"/>
    <n v="112103.700001488"/>
    <n v="68614.600029796406"/>
    <n v="32081.639938205499"/>
    <n v="36532.960091590903"/>
    <n v="4960.0199999809302"/>
    <n v="63654.580029815479"/>
    <n v="42855.060034513503"/>
    <n v="27.480000115930999"/>
    <n v="495"/>
    <n v="241.04989899290507"/>
    <n v="154.41850498355268"/>
    <n v="138.6153535955483"/>
    <n v="0.5750483786746089"/>
    <n v="0.95995167212331478"/>
    <n v="72564.850000000006"/>
    <n v="58566.80000000001"/>
    <n v="621.33000000000004"/>
    <n v="1.0608911533496792E-2"/>
    <n v="247.61"/>
    <n v="4.2278219059262243E-3"/>
    <n v="147.13"/>
    <n v="2.5121741327851269E-3"/>
    <n v="-1000.64"/>
    <n v="0"/>
    <n v="13998.05"/>
    <n v="1878.47"/>
    <n v="0.13419512003457626"/>
    <n v="1795.16"/>
    <n v="0.12824357678390921"/>
    <n v="1087.3900000000001"/>
    <n v="7.7681534213694059E-2"/>
    <n v="1508.03"/>
    <n v="0.10773143402116724"/>
    <n v="21.512348729604902"/>
    <n v="18.522174217527937"/>
    <n v="66.282132898405848"/>
    <n v="6.4890166015214107E-2"/>
  </r>
  <r>
    <x v="12"/>
    <x v="1"/>
    <x v="17"/>
    <n v="387737.31033925002"/>
    <n v="20687.190002441399"/>
    <n v="367050.12033680797"/>
    <n v="256244.07954518701"/>
    <n v="154239.68951492201"/>
    <n v="102004.390030265"/>
    <n v="25483.1900891066"/>
    <n v="230760.88945608042"/>
    <n v="117169.78023038599"/>
    <n v="6948.6300004105997"/>
    <n v="1766"/>
    <n v="219.55680087160215"/>
    <n v="149.27457537284982"/>
    <n v="145.0985727888941"/>
    <n v="0.66087031789895889"/>
    <n v="1.0760422261926601"/>
    <n v="379301.89"/>
    <n v="282156.27999999997"/>
    <n v="6244.65"/>
    <n v="2.213188379149314E-2"/>
    <n v="6413.27"/>
    <n v="2.2729495866616902E-2"/>
    <n v="10768.91"/>
    <n v="3.8166472849727115E-2"/>
    <n v="29612.43"/>
    <n v="0.10495045511657583"/>
    <n v="97145.610000000015"/>
    <n v="9215.7900000000009"/>
    <n v="9.4865738142979383E-2"/>
    <n v="9549.4"/>
    <n v="9.8299861414221382E-2"/>
    <n v="5007.0200000000004"/>
    <n v="5.1541392349072693E-2"/>
    <n v="32480.52"/>
    <n v="0.33434881926213644"/>
    <n v="31.091684250988067"/>
    <n v="24.322801669612645"/>
    <n v="162.18509467643702"/>
    <n v="9.6666779501100863E-2"/>
  </r>
  <r>
    <x v="12"/>
    <x v="1"/>
    <x v="57"/>
    <n v="1874"/>
    <n v="25"/>
    <n v="1849"/>
    <n v="404"/>
    <n v="0"/>
    <n v="404"/>
    <n v="0"/>
    <n v="404"/>
    <n v="0"/>
    <n v="0"/>
    <n v="10"/>
    <n v="187.4"/>
    <n v="187.4"/>
    <n v="40.4"/>
    <n v="0.21558164354322304"/>
    <n v="0.21558164354322304"/>
    <n v="1837"/>
    <n v="2006"/>
    <n v="0"/>
    <n v="0"/>
    <n v="0"/>
    <n v="0"/>
    <n v="0"/>
    <n v="0"/>
    <n v="0"/>
    <n v="0"/>
    <n v="-169"/>
    <n v="0"/>
    <n v="0"/>
    <n v="0"/>
    <n v="0"/>
    <n v="0"/>
    <n v="0"/>
    <n v="0"/>
    <n v="0"/>
    <n v="0"/>
    <n v="0"/>
    <n v="0"/>
    <n v="0"/>
  </r>
  <r>
    <x v="12"/>
    <x v="1"/>
    <x v="53"/>
    <n v="156035.750141144"/>
    <n v="4083"/>
    <n v="151952.750141144"/>
    <n v="99470.399828324094"/>
    <n v="67632.699860462904"/>
    <n v="31837.699967861201"/>
    <n v="8400.8300189971906"/>
    <n v="91069.569809326917"/>
    <n v="51625.019979439698"/>
    <n v="953.45000231265999"/>
    <n v="677"/>
    <n v="230.48116712133532"/>
    <n v="152.81725282037169"/>
    <n v="146.92821244951861"/>
    <n v="0.63748467731495484"/>
    <n v="1.0464350360381693"/>
    <n v="139298.91"/>
    <n v="112608.3"/>
    <n v="1623.39"/>
    <n v="1.4416255284912392E-2"/>
    <n v="2192.7399999999998"/>
    <n v="1.9472276910316555E-2"/>
    <n v="1997.65"/>
    <n v="1.7739811363815989E-2"/>
    <n v="11010.13"/>
    <n v="9.7773698741566994E-2"/>
    <n v="26690.61"/>
    <n v="2215.11"/>
    <n v="8.2992108460615929E-2"/>
    <n v="2183.15"/>
    <n v="8.1794683598464035E-2"/>
    <n v="2210.6"/>
    <n v="8.2823135177502491E-2"/>
    <n v="9539.69"/>
    <n v="0.35741745879918069"/>
    <n v="28.688151716785107"/>
    <n v="23.957725437737228"/>
    <n v="171.82796137339056"/>
    <n v="8.120095566067885E-2"/>
  </r>
  <r>
    <x v="12"/>
    <x v="1"/>
    <x v="54"/>
    <n v="156146.04014182999"/>
    <n v="5725"/>
    <n v="150421.04014182999"/>
    <n v="99722.829801622793"/>
    <n v="63485.219804827102"/>
    <n v="36237.609996795698"/>
    <n v="9464.2800292968805"/>
    <n v="90258.549772325932"/>
    <n v="49937.070015545898"/>
    <n v="2504.2300098538399"/>
    <n v="691"/>
    <n v="225.97111453231545"/>
    <n v="150.07921869237373"/>
    <n v="144.31668567528627"/>
    <n v="0.63865103278343105"/>
    <n v="1.0581742672883867"/>
    <n v="156169.56999999998"/>
    <n v="121278.41999999998"/>
    <n v="3756.72"/>
    <n v="3.097599721368402E-2"/>
    <n v="2717.23"/>
    <n v="2.2404892807805381E-2"/>
    <n v="7458.57"/>
    <n v="6.1499564390763012E-2"/>
    <n v="14899.43"/>
    <n v="0.12285310115352759"/>
    <n v="34891.15"/>
    <n v="1867.68"/>
    <n v="5.352876015837827E-2"/>
    <n v="2095.36"/>
    <n v="6.0054197124485724E-2"/>
    <n v="2135.2199999999998"/>
    <n v="6.119660716256127E-2"/>
    <n v="12098.93"/>
    <n v="0.3467621445552812"/>
    <n v="32.392317964714678"/>
    <n v="26.001094703841463"/>
    <n v="222.47279489904358"/>
    <n v="9.1261788214031955E-2"/>
  </r>
  <r>
    <x v="13"/>
    <x v="0"/>
    <x v="0"/>
    <n v="0"/>
    <n v="0"/>
    <n v="0"/>
    <n v="0"/>
    <n v="0"/>
    <n v="0"/>
    <n v="0"/>
    <n v="0"/>
    <n v="0"/>
    <n v="0"/>
    <n v="0"/>
    <s v="$0.00"/>
    <s v="$0.00"/>
    <s v="$0.00"/>
    <s v="0.00%"/>
    <s v="0.00%"/>
    <n v="0"/>
    <n v="0"/>
    <n v="0"/>
    <s v="0.00%"/>
    <n v="0"/>
    <s v="0.00%"/>
    <n v="0"/>
    <n v="0"/>
    <n v="0"/>
    <s v="0.00%"/>
    <n v="0"/>
    <n v="0"/>
    <s v="0.00%"/>
    <n v="0"/>
    <s v="0.00%"/>
    <n v="0"/>
    <n v="0"/>
    <n v="0"/>
    <s v="0.00%"/>
    <s v="0.00"/>
    <s v="0.00"/>
    <s v="0.00"/>
    <s v="0.00%"/>
  </r>
  <r>
    <x v="13"/>
    <x v="0"/>
    <x v="1"/>
    <n v="189296.78000259446"/>
    <n v="7787"/>
    <n v="181509.78000259446"/>
    <n v="113064.42998946446"/>
    <n v="56007.53996938467"/>
    <n v="57056.890020079903"/>
    <n v="6257.9999976158097"/>
    <n v="106806.42999184877"/>
    <n v="64038.550077036001"/>
    <n v="2081.5300067067101"/>
    <n v="969"/>
    <n v="195.35271414096437"/>
    <n v="127.11733737755598"/>
    <n v="116.68155829666108"/>
    <n v="0.59728659931729922"/>
    <n v="0.96703461521238399"/>
    <n v="138542.03000000003"/>
    <n v="101734.29000000001"/>
    <n v="2881.82"/>
    <n v="2.8326928904698699E-2"/>
    <n v="1330.12"/>
    <n v="1.307445110198341E-2"/>
    <n v="-271.06"/>
    <n v="0"/>
    <n v="2341.79"/>
    <n v="2.301868917549825E-2"/>
    <n v="36807.740000000005"/>
    <n v="4036.02"/>
    <n v="0.10965139397311542"/>
    <n v="3305.87"/>
    <n v="8.9814533573645092E-2"/>
    <n v="2664"/>
    <n v="7.2376081769758197E-2"/>
    <n v="12632.36"/>
    <n v="0.34319846858296649"/>
    <n v="22.538708044889457"/>
    <n v="17.543708975155706"/>
    <n v="105.78625578796105"/>
    <n v="5.0805062984627385E-2"/>
  </r>
  <r>
    <x v="13"/>
    <x v="0"/>
    <x v="3"/>
    <n v="213831.64000801"/>
    <n v="16871"/>
    <n v="196960.64000801"/>
    <n v="131909.07010126099"/>
    <n v="63388.009970665"/>
    <n v="68521.060130596205"/>
    <n v="8584.4499826431293"/>
    <n v="123324.62011861807"/>
    <n v="76849.360019454703"/>
    <n v="2253.57998782396"/>
    <n v="961"/>
    <n v="222.50951093445369"/>
    <n v="140.19635796121887"/>
    <n v="137.26229979319584"/>
    <n v="0.61688284341980437"/>
    <n v="1.0457002208372268"/>
    <n v="181628.06999999998"/>
    <n v="139870.22999999998"/>
    <n v="6074.93"/>
    <n v="4.3432616075629538E-2"/>
    <n v="5466.01"/>
    <n v="3.9079152154107427E-2"/>
    <n v="3800.92"/>
    <n v="2.7174617500807716E-2"/>
    <n v="8973.2199999999993"/>
    <n v="6.4153894649347468E-2"/>
    <n v="41757.840000000004"/>
    <n v="4383.67"/>
    <n v="0.10497837052874381"/>
    <n v="2425"/>
    <n v="5.8072927143741147E-2"/>
    <n v="3849.73"/>
    <n v="9.2191789613639011E-2"/>
    <n v="14698.24"/>
    <n v="0.35198755491184408"/>
    <n v="26.131106791748117"/>
    <n v="21.895963495622627"/>
    <n v="74.209774302470237"/>
    <n v="6.37165650867004E-2"/>
  </r>
  <r>
    <x v="13"/>
    <x v="0"/>
    <x v="56"/>
    <n v="164364.42000200201"/>
    <n v="11981"/>
    <n v="152383.42000200201"/>
    <n v="76151.550134182005"/>
    <n v="29298.9300060272"/>
    <n v="46852.620128154798"/>
    <n v="1577.1900079250299"/>
    <n v="74574.360126256972"/>
    <n v="41559.449981689497"/>
    <n v="70"/>
    <n v="700"/>
    <n v="234.8063142885743"/>
    <n v="175.33567145758931"/>
    <n v="108.78792876311715"/>
    <n v="0.46330921335198005"/>
    <n v="0.62853206889723534"/>
    <n v="80896.509999999995"/>
    <n v="75038.47"/>
    <n v="0"/>
    <n v="0"/>
    <n v="0"/>
    <n v="0"/>
    <n v="0"/>
    <n v="0"/>
    <n v="0"/>
    <n v="0"/>
    <n v="5858.04"/>
    <n v="0"/>
    <n v="0"/>
    <n v="0"/>
    <n v="0"/>
    <n v="0"/>
    <n v="0"/>
    <n v="0"/>
    <n v="0"/>
    <n v="22.39425696747745"/>
    <n v="22.424014465098651"/>
    <n v="22.019947375015661"/>
    <n v="1.2850371883938266E-2"/>
  </r>
  <r>
    <x v="13"/>
    <x v="0"/>
    <x v="4"/>
    <n v="0"/>
    <n v="0"/>
    <n v="0"/>
    <n v="0"/>
    <n v="0"/>
    <n v="0"/>
    <n v="9"/>
    <n v="-9"/>
    <n v="0"/>
    <n v="0"/>
    <n v="0"/>
    <s v="$0.00"/>
    <s v="$0.00"/>
    <s v="$0.00"/>
    <s v="0.00%"/>
    <n v="0"/>
    <n v="-72.61"/>
    <n v="0"/>
    <n v="0"/>
    <s v="0.00%"/>
    <n v="0"/>
    <s v="0.00%"/>
    <n v="0"/>
    <n v="0"/>
    <n v="0"/>
    <s v="0.00%"/>
    <n v="-72.61"/>
    <n v="0"/>
    <n v="0"/>
    <n v="0"/>
    <n v="0"/>
    <n v="0"/>
    <n v="0"/>
    <n v="-72.61"/>
    <n v="1"/>
    <n v="0"/>
    <n v="0"/>
    <n v="0"/>
    <s v="0.00%"/>
  </r>
  <r>
    <x v="13"/>
    <x v="0"/>
    <x v="5"/>
    <n v="341452.3800065"/>
    <n v="23315"/>
    <n v="318137.3800065"/>
    <n v="214151.32015442799"/>
    <n v="107559.859984279"/>
    <n v="106591.46017015001"/>
    <n v="14827.0799742937"/>
    <n v="199324.2401801353"/>
    <n v="135349.38986945199"/>
    <n v="6249.1300017535696"/>
    <n v="1519"/>
    <n v="224.78761027419355"/>
    <n v="131.56936151105626"/>
    <n v="140.98177758685253"/>
    <n v="0.62717770527870487"/>
    <n v="1.1574071600234603"/>
    <n v="288795.33999999997"/>
    <n v="224414.98999999996"/>
    <n v="9294.6299999999992"/>
    <n v="4.141715310550334E-2"/>
    <n v="4056.61"/>
    <n v="1.8076377161792983E-2"/>
    <n v="3669.05"/>
    <n v="1.6349398050460002E-2"/>
    <n v="10968.18"/>
    <n v="4.8874542649757942E-2"/>
    <n v="64380.350000000006"/>
    <n v="6335.41"/>
    <n v="9.8405957718465331E-2"/>
    <n v="3834.31"/>
    <n v="5.9557147483665432E-2"/>
    <n v="4901.0600000000004"/>
    <n v="7.6126644232285157E-2"/>
    <n v="25023.56"/>
    <n v="0.38868319293076226"/>
    <n v="25.503348074392452"/>
    <n v="21.157788722931073"/>
    <n v="89.780152778208191"/>
    <n v="7.4189610169432096E-2"/>
  </r>
  <r>
    <x v="13"/>
    <x v="0"/>
    <x v="6"/>
    <n v="0"/>
    <n v="0"/>
    <n v="0"/>
    <n v="0"/>
    <n v="0"/>
    <n v="0"/>
    <n v="0"/>
    <n v="0"/>
    <n v="0"/>
    <n v="-30"/>
    <n v="0"/>
    <s v="$0.00"/>
    <s v="$0.00"/>
    <s v="$0.00"/>
    <s v="0.00%"/>
    <n v="0"/>
    <n v="-318.58999999999997"/>
    <n v="-283.58999999999997"/>
    <n v="0"/>
    <n v="0"/>
    <n v="0"/>
    <n v="0"/>
    <n v="0"/>
    <n v="0"/>
    <n v="-283.58999999999997"/>
    <n v="0"/>
    <n v="-35"/>
    <n v="0"/>
    <n v="0"/>
    <n v="0"/>
    <n v="0"/>
    <n v="0"/>
    <n v="0"/>
    <n v="-35"/>
    <n v="1"/>
    <n v="0"/>
    <n v="0"/>
    <n v="0"/>
    <n v="0"/>
  </r>
  <r>
    <x v="13"/>
    <x v="0"/>
    <x v="7"/>
    <n v="0"/>
    <n v="0"/>
    <n v="0"/>
    <n v="22.79999923706"/>
    <n v="0"/>
    <n v="22.79999923706"/>
    <n v="0"/>
    <n v="22.79999923706"/>
    <n v="0"/>
    <n v="-22.79999923706"/>
    <n v="0"/>
    <s v="$0.00"/>
    <s v="$0.00"/>
    <s v="$0.00"/>
    <s v="0.00%"/>
    <n v="1"/>
    <n v="-10"/>
    <n v="0"/>
    <n v="0"/>
    <s v="0.00%"/>
    <n v="0"/>
    <s v="0.00%"/>
    <n v="0"/>
    <n v="0"/>
    <n v="0"/>
    <s v="0.00%"/>
    <n v="-10"/>
    <n v="0"/>
    <n v="0"/>
    <n v="0"/>
    <n v="0"/>
    <n v="0"/>
    <n v="0"/>
    <n v="-10"/>
    <n v="1"/>
    <n v="-2.0790764243208571E-3"/>
    <n v="0"/>
    <n v="0"/>
    <n v="0"/>
  </r>
  <r>
    <x v="13"/>
    <x v="0"/>
    <x v="8"/>
    <n v="243462.420006845"/>
    <n v="13024"/>
    <n v="230438.420006845"/>
    <n v="152979.729807066"/>
    <n v="86038.869744436801"/>
    <n v="66940.860062628999"/>
    <n v="7111.2699923515302"/>
    <n v="145868.45981471427"/>
    <n v="96942.540172390596"/>
    <n v="4594.9800316076698"/>
    <n v="1138"/>
    <n v="213.93885765100615"/>
    <n v="124.71432320109554"/>
    <n v="134.42858506772038"/>
    <n v="0.62835048547847649"/>
    <n v="1.1347497283628245"/>
    <n v="232339.94999999998"/>
    <n v="183681.33"/>
    <n v="4715.83"/>
    <n v="2.5673975683865095E-2"/>
    <n v="4294.47"/>
    <n v="2.33800027471491E-2"/>
    <n v="1998.89"/>
    <n v="1.0882379825973605E-2"/>
    <n v="15568.25"/>
    <n v="8.4756844911782814E-2"/>
    <n v="48658.619999999995"/>
    <n v="3037.51"/>
    <n v="6.2424910529727325E-2"/>
    <n v="4616.6499999999996"/>
    <n v="9.4878358654643308E-2"/>
    <n v="3006.6"/>
    <n v="6.178966851094421E-2"/>
    <n v="18598.240000000002"/>
    <n v="0.38221881343942765"/>
    <n v="27.48807336093617"/>
    <n v="23.047323223024911"/>
    <n v="100.81669966388876"/>
    <n v="5.0105865864482312E-2"/>
  </r>
  <r>
    <x v="13"/>
    <x v="0"/>
    <x v="10"/>
    <n v="235828.10000570101"/>
    <n v="9314"/>
    <n v="226514.10000570101"/>
    <n v="133784.379989421"/>
    <n v="77368.439919745506"/>
    <n v="56415.940069675402"/>
    <n v="7057.7800191640899"/>
    <n v="126726.59997025682"/>
    <n v="75858.890052381903"/>
    <n v="7691.0799988210201"/>
    <n v="1191"/>
    <n v="198.00848027346854"/>
    <n v="127.85737191813442"/>
    <n v="112.32945423125182"/>
    <n v="0.56729617881069616"/>
    <n v="0.92125091317432106"/>
    <n v="257705.34000000003"/>
    <n v="198580.85"/>
    <n v="14784.51"/>
    <n v="7.4450834508967001E-2"/>
    <n v="4430.83"/>
    <n v="2.2312473735508737E-2"/>
    <n v="2814.4"/>
    <n v="1.4172564977942234E-2"/>
    <n v="11299.01"/>
    <n v="5.6898789586206325E-2"/>
    <n v="59124.490000000005"/>
    <n v="3510.1"/>
    <n v="5.9367953956135595E-2"/>
    <n v="5035.5600000000004"/>
    <n v="8.516876847478938E-2"/>
    <n v="5847.73"/>
    <n v="9.8905377450190249E-2"/>
    <n v="30030.58"/>
    <n v="0.50792116769210183"/>
    <n v="34.616830388285017"/>
    <n v="27.999109061133122"/>
    <n v="167.91429788576838"/>
    <n v="4.6347955686565176E-2"/>
  </r>
  <r>
    <x v="13"/>
    <x v="0"/>
    <x v="12"/>
    <n v="260055.230004001"/>
    <n v="21843"/>
    <n v="238212.230004001"/>
    <n v="164629.99025583299"/>
    <n v="91844.0901484489"/>
    <n v="72785.900107383699"/>
    <n v="8517.6900128126108"/>
    <n v="156112.30024302"/>
    <n v="87477.669908046693"/>
    <n v="7777.0600015073996"/>
    <n v="1214"/>
    <n v="214.21353377594809"/>
    <n v="135.75000007779812"/>
    <n v="135.60954716295933"/>
    <n v="0.63305779412050178"/>
    <n v="1.053410737686622"/>
    <n v="271339.3"/>
    <n v="207545.37999999998"/>
    <n v="7175.18"/>
    <n v="3.4571619951260783E-2"/>
    <n v="5786.39"/>
    <n v="2.7880119518921602E-2"/>
    <n v="4292.54"/>
    <n v="2.0682416539457543E-2"/>
    <n v="6067.33"/>
    <n v="2.9233751192148921E-2"/>
    <n v="63793.919999999998"/>
    <n v="5061.72"/>
    <n v="7.9344865466803111E-2"/>
    <n v="6153.84"/>
    <n v="9.6464365256124729E-2"/>
    <n v="4595.32"/>
    <n v="7.2033823912999853E-2"/>
    <n v="29972.62"/>
    <n v="0.4698350563815486"/>
    <n v="31.548544875387918"/>
    <n v="26.117381236128715"/>
    <n v="97.536282725271178"/>
    <n v="5.1684855373200542E-2"/>
  </r>
  <r>
    <x v="13"/>
    <x v="0"/>
    <x v="13"/>
    <n v="243119.84000564599"/>
    <n v="10446"/>
    <n v="232673.84000564599"/>
    <n v="132844.58002447299"/>
    <n v="67258.599943749607"/>
    <n v="65585.980080723806"/>
    <n v="5928.4000171423004"/>
    <n v="126916.18000733113"/>
    <n v="84331.940090544507"/>
    <n v="4622.6599952951101"/>
    <n v="1061"/>
    <n v="229.14216777157964"/>
    <n v="145.30182838813042"/>
    <n v="125.20695572523414"/>
    <n v="0.54641603919033666"/>
    <n v="0.89616440900725103"/>
    <n v="200557.84999999998"/>
    <n v="140090.53999999998"/>
    <n v="4654.45"/>
    <n v="3.3224584615063946E-2"/>
    <n v="4176.5"/>
    <n v="2.981286245309641E-2"/>
    <n v="2120.5"/>
    <n v="1.5136639490432403E-2"/>
    <n v="7482.56"/>
    <n v="5.3412314635949018E-2"/>
    <n v="60467.31"/>
    <n v="6019.69"/>
    <n v="9.955279968630984E-2"/>
    <n v="6221.44"/>
    <n v="0.1028893132504158"/>
    <n v="4862.1099999999997"/>
    <n v="8.0408901933954058E-2"/>
    <n v="23427"/>
    <n v="0.38743248211306242"/>
    <n v="30.11569701013844"/>
    <n v="22.087858220090155"/>
    <n v="190.65505535313901"/>
    <n v="3.8454842480873989E-2"/>
  </r>
  <r>
    <x v="13"/>
    <x v="0"/>
    <x v="14"/>
    <n v="0"/>
    <n v="0"/>
    <n v="0"/>
    <n v="79"/>
    <n v="79"/>
    <n v="0"/>
    <n v="0"/>
    <n v="79"/>
    <n v="0"/>
    <n v="-69"/>
    <n v="0"/>
    <s v="$0.00"/>
    <s v="$0.00"/>
    <s v="$0.00"/>
    <s v="0.00%"/>
    <n v="1.144927536231884"/>
    <n v="-19"/>
    <n v="-9"/>
    <n v="0"/>
    <n v="0"/>
    <n v="246"/>
    <n v="0"/>
    <n v="0"/>
    <n v="0"/>
    <n v="-255"/>
    <n v="0"/>
    <n v="-10"/>
    <n v="0"/>
    <n v="0"/>
    <n v="0"/>
    <n v="0"/>
    <n v="0"/>
    <n v="0"/>
    <n v="-10"/>
    <n v="1"/>
    <n v="0"/>
    <n v="0"/>
    <n v="0"/>
    <n v="0"/>
  </r>
  <r>
    <x v="13"/>
    <x v="0"/>
    <x v="16"/>
    <n v="109496.55999971399"/>
    <n v="6400"/>
    <n v="103096.55999971399"/>
    <n v="87231.050026938305"/>
    <n v="49765.289978072004"/>
    <n v="37465.760048866301"/>
    <n v="7923.6499712467203"/>
    <n v="79307.400055691585"/>
    <n v="62480.280066445499"/>
    <n v="1574.14999866486"/>
    <n v="485"/>
    <n v="225.76610309219382"/>
    <n v="93.695113267223988"/>
    <n v="179.8578351070893"/>
    <n v="0.79665562121007416"/>
    <n v="2.3250155686513434"/>
    <n v="66567.029999999984"/>
    <n v="41850.509999999987"/>
    <n v="1464.77"/>
    <n v="3.5000051373328553E-2"/>
    <n v="2541.6"/>
    <n v="6.0730442711450845E-2"/>
    <n v="315.08999999999997"/>
    <n v="7.5289405075350353E-3"/>
    <n v="3841.78"/>
    <n v="9.179768657538466E-2"/>
    <n v="24716.52"/>
    <n v="2877.96"/>
    <n v="0.11643872195600352"/>
    <n v="3248.13"/>
    <n v="0.13141534487864798"/>
    <n v="1914.09"/>
    <n v="7.7441727233445487E-2"/>
    <n v="5639.36"/>
    <n v="0.22816156967081125"/>
    <n v="17.208909622108731"/>
    <n v="11.515230919833837"/>
    <n v="105.71148600484722"/>
    <n v="0.17436792647373153"/>
  </r>
  <r>
    <x v="13"/>
    <x v="1"/>
    <x v="17"/>
    <n v="356698.20027736598"/>
    <n v="14950"/>
    <n v="341748.20027736598"/>
    <n v="226675.649374481"/>
    <n v="126411.569342609"/>
    <n v="100264.080031872"/>
    <n v="16018.5299732685"/>
    <n v="210657.11940121249"/>
    <n v="97374.850304801002"/>
    <n v="5435.97004020028"/>
    <n v="1582"/>
    <n v="225.47294581375851"/>
    <n v="160.48506948948463"/>
    <n v="143.28422842887548"/>
    <n v="0.63548301953365516"/>
    <n v="0.95294381510424775"/>
    <n v="399153.54999999993"/>
    <n v="298682.40999999997"/>
    <n v="9246.74"/>
    <n v="3.0958435081597208E-2"/>
    <n v="4511.22"/>
    <n v="1.5103735101106224E-2"/>
    <n v="6374.39"/>
    <n v="2.1341698695949322E-2"/>
    <n v="13268.14"/>
    <n v="4.442223430566266E-2"/>
    <n v="100471.13999999998"/>
    <n v="9120.3799999999992"/>
    <n v="9.0776117400479389E-2"/>
    <n v="8182.38"/>
    <n v="8.1440103098262856E-2"/>
    <n v="7884.33"/>
    <n v="7.8473579577180083E-2"/>
    <n v="31526.23"/>
    <n v="0.31378393835284446"/>
    <n v="32.934829550087457"/>
    <n v="25.81937112440745"/>
    <n v="182.22935046260352"/>
    <n v="6.3093053217280107E-2"/>
  </r>
  <r>
    <x v="13"/>
    <x v="1"/>
    <x v="57"/>
    <n v="83373.850027084394"/>
    <n v="4607"/>
    <n v="78766.850027084394"/>
    <n v="23865.649946212801"/>
    <n v="5831.0499706268301"/>
    <n v="18034.599975585901"/>
    <n v="93.519996643065994"/>
    <n v="23772.129949569666"/>
    <n v="5409.6599960327103"/>
    <n v="0"/>
    <n v="353"/>
    <n v="236.18654398607478"/>
    <n v="220.86172813329088"/>
    <n v="67.608073502019067"/>
    <n v="0.28624862517995586"/>
    <n v="0.30647803512756788"/>
    <n v="56052.06"/>
    <n v="54246.7"/>
    <n v="0"/>
    <n v="0"/>
    <n v="0"/>
    <n v="0"/>
    <n v="0"/>
    <n v="0"/>
    <n v="0"/>
    <n v="0"/>
    <n v="1805.36"/>
    <n v="0"/>
    <n v="0"/>
    <n v="0"/>
    <n v="0"/>
    <n v="0"/>
    <n v="0"/>
    <n v="0"/>
    <n v="0"/>
    <n v="39.451125147807126"/>
    <n v="40.374219200150947"/>
    <n v="23.38549222797927"/>
    <n v="1.1995250204718181E-3"/>
  </r>
  <r>
    <x v="13"/>
    <x v="1"/>
    <x v="53"/>
    <n v="140163.600154877"/>
    <n v="3925"/>
    <n v="136238.600154877"/>
    <n v="83900.389710474803"/>
    <n v="55408.289701968402"/>
    <n v="28492.100008506299"/>
    <n v="4920.2599883079502"/>
    <n v="78980.129722166748"/>
    <n v="42460.370003402197"/>
    <n v="2264.5200020074799"/>
    <n v="611"/>
    <n v="229.4003275857234"/>
    <n v="156.20083494184502"/>
    <n v="137.31651343776548"/>
    <n v="0.59858900326309417"/>
    <n v="0.92688716566731044"/>
    <n v="150111.93"/>
    <n v="122281.08"/>
    <n v="1358.38"/>
    <n v="1.1108668650947473E-2"/>
    <n v="1104.6400000000001"/>
    <n v="9.033613376656471E-3"/>
    <n v="2317.33"/>
    <n v="1.8950846688629182E-2"/>
    <n v="6019.95"/>
    <n v="4.9230428779333646E-2"/>
    <n v="27830.85"/>
    <n v="2196.42"/>
    <n v="7.8920334808315243E-2"/>
    <n v="1570.9"/>
    <n v="5.6444557029339752E-2"/>
    <n v="1590.31"/>
    <n v="5.7141984524367744E-2"/>
    <n v="9689.58"/>
    <n v="0.34815968610373021"/>
    <n v="30.914943673194767"/>
    <n v="25.905308868024676"/>
    <n v="205.64667487684727"/>
    <n v="5.1554133334391176E-2"/>
  </r>
  <r>
    <x v="13"/>
    <x v="1"/>
    <x v="54"/>
    <n v="164745.04019212699"/>
    <n v="3151"/>
    <n v="161594.04019212699"/>
    <n v="89401.809475006507"/>
    <n v="55952.649484695903"/>
    <n v="33449.159990310698"/>
    <n v="5195.3399913310996"/>
    <n v="84206.469483675493"/>
    <n v="42226.610138265401"/>
    <n v="2344.7500154078002"/>
    <n v="695"/>
    <n v="237.04322329802446"/>
    <n v="172.91176983950186"/>
    <n v="128.63569708634043"/>
    <n v="0.54266768438518986"/>
    <n v="0.7775534891038276"/>
    <n v="182030.04000000004"/>
    <n v="147762.15000000002"/>
    <n v="2040.07"/>
    <n v="1.3806445019918833E-2"/>
    <n v="2459.23"/>
    <n v="1.6643166061132704E-2"/>
    <n v="2612.1999999999998"/>
    <n v="1.767841087856396E-2"/>
    <n v="12656.98"/>
    <n v="8.5657795314970697E-2"/>
    <n v="34267.89"/>
    <n v="2964.08"/>
    <n v="8.6497301117751918E-2"/>
    <n v="2049.2399999999998"/>
    <n v="5.9800588831118572E-2"/>
    <n v="2356.25"/>
    <n v="6.8759704784858364E-2"/>
    <n v="11716.8"/>
    <n v="0.34191775449261685"/>
    <n v="36.325269800338674"/>
    <n v="30.35687431820071"/>
    <n v="238.61586847195358"/>
    <n v="4.3231928902141198E-2"/>
  </r>
  <r>
    <x v="13"/>
    <x v="2"/>
    <x v="19"/>
    <n v="117980.220002441"/>
    <n v="8709"/>
    <n v="109271.220002441"/>
    <n v="85060.880419433102"/>
    <n v="51324.9601964951"/>
    <n v="33735.920222938097"/>
    <n v="5375.7200684547397"/>
    <n v="79685.160350978462"/>
    <n v="39744.669577598601"/>
    <n v="3404.2000064849899"/>
    <n v="821"/>
    <n v="143.70306943050062"/>
    <n v="91.146590034540083"/>
    <n v="103.60643169236687"/>
    <n v="0.7209757738854301"/>
    <n v="1.2246794103071934"/>
    <n v="113695.34"/>
    <n v="86529.939999999988"/>
    <n v="3508.54"/>
    <n v="4.0547121609006087E-2"/>
    <n v="611.49"/>
    <n v="7.0668025425650368E-3"/>
    <n v="3073.98"/>
    <n v="3.5525044857306044E-2"/>
    <n v="3473.43"/>
    <n v="4.0141366098254548E-2"/>
    <n v="27165.4"/>
    <n v="2636.54"/>
    <n v="9.7055077414652455E-2"/>
    <n v="1780.8"/>
    <n v="6.5553976749836179E-2"/>
    <n v="2313.5500000000002"/>
    <n v="8.5165320591634952E-2"/>
    <n v="6732.72"/>
    <n v="0.24784173986026342"/>
    <n v="28.062952447172371"/>
    <n v="22.920926970562657"/>
    <n v="98.322448323011344"/>
    <n v="7.1837806459470008E-2"/>
  </r>
  <r>
    <x v="13"/>
    <x v="2"/>
    <x v="20"/>
    <n v="0"/>
    <n v="0"/>
    <n v="0"/>
    <n v="50"/>
    <n v="0"/>
    <n v="50"/>
    <n v="0"/>
    <n v="50"/>
    <n v="0"/>
    <n v="-50"/>
    <n v="0"/>
    <s v="$0.00"/>
    <s v="$0.00"/>
    <s v="$0.00"/>
    <s v="0.00%"/>
    <n v="1"/>
    <n v="-229.62"/>
    <n v="-194.96"/>
    <n v="0"/>
    <n v="0"/>
    <n v="0"/>
    <n v="0"/>
    <n v="0"/>
    <n v="0"/>
    <n v="-194.96"/>
    <n v="0"/>
    <n v="-34.659999999999997"/>
    <n v="0"/>
    <n v="0"/>
    <n v="0"/>
    <n v="0"/>
    <n v="0"/>
    <n v="0"/>
    <n v="-34.659999999999997"/>
    <n v="1"/>
    <n v="0"/>
    <n v="0"/>
    <n v="0"/>
    <n v="0"/>
  </r>
  <r>
    <x v="13"/>
    <x v="2"/>
    <x v="21"/>
    <n v="194862.5"/>
    <n v="11004"/>
    <n v="183858.5"/>
    <n v="125107.160963416"/>
    <n v="58223.930565476403"/>
    <n v="66883.230397939697"/>
    <n v="10610.8300544024"/>
    <n v="114496.3309090137"/>
    <n v="70793.139237284704"/>
    <n v="3473.1000067889699"/>
    <n v="945"/>
    <n v="206.2037037037037"/>
    <n v="127.61509074701199"/>
    <n v="132.38853012001704"/>
    <n v="0.64202789640600988"/>
    <n v="1.1374884852060922"/>
    <n v="144141.74"/>
    <n v="107991.16"/>
    <n v="3933.2"/>
    <n v="3.6421499685715016E-2"/>
    <n v="2072.77"/>
    <n v="1.91938858699175E-2"/>
    <n v="1194.78"/>
    <n v="1.1063683360749157E-2"/>
    <n v="9266.24"/>
    <n v="8.5805541861018991E-2"/>
    <n v="36150.58"/>
    <n v="3127.45"/>
    <n v="8.6511751678672921E-2"/>
    <n v="3612.93"/>
    <n v="9.9941135107652485E-2"/>
    <n v="1962.26"/>
    <n v="5.4280180290330056E-2"/>
    <n v="9741.0300000000007"/>
    <n v="0.26945708754880282"/>
    <n v="22.810004378168234"/>
    <n v="18.419270559919646"/>
    <n v="79.227394925242294"/>
    <n v="8.7986393507486632E-2"/>
  </r>
  <r>
    <x v="13"/>
    <x v="2"/>
    <x v="22"/>
    <n v="0"/>
    <n v="0"/>
    <n v="0"/>
    <n v="0"/>
    <n v="0"/>
    <n v="0"/>
    <n v="0"/>
    <n v="0"/>
    <n v="0"/>
    <n v="-16.269999742507"/>
    <n v="0"/>
    <s v="$0.00"/>
    <s v="$0.00"/>
    <s v="$0.00"/>
    <s v="0.00%"/>
    <n v="0"/>
    <n v="-167"/>
    <n v="-167"/>
    <n v="0"/>
    <n v="0"/>
    <n v="0"/>
    <n v="0"/>
    <n v="0"/>
    <n v="0"/>
    <n v="-167"/>
    <n v="0"/>
    <n v="0"/>
    <n v="0"/>
    <s v="0.00%"/>
    <n v="0"/>
    <s v="0.00%"/>
    <n v="0"/>
    <n v="0"/>
    <n v="0"/>
    <s v="0.00%"/>
    <n v="0"/>
    <n v="0"/>
    <n v="0"/>
    <n v="0"/>
  </r>
  <r>
    <x v="13"/>
    <x v="2"/>
    <x v="23"/>
    <n v="150039.91001297001"/>
    <n v="6186"/>
    <n v="143853.91001297001"/>
    <n v="88099.550926327705"/>
    <n v="45276.5305943489"/>
    <n v="42823.020331978798"/>
    <n v="7174.5300730466797"/>
    <n v="80925.020853281021"/>
    <n v="57271.3793263435"/>
    <n v="3955.3400132060101"/>
    <n v="697"/>
    <n v="215.26529413625539"/>
    <n v="127.42208131050286"/>
    <n v="126.39820792873415"/>
    <n v="0.58717411199934777"/>
    <n v="1.0791400823879307"/>
    <n v="118297.33000000002"/>
    <n v="85116.62000000001"/>
    <n v="2646.41"/>
    <n v="3.1091577649582414E-2"/>
    <n v="3540.21"/>
    <n v="4.1592464550401553E-2"/>
    <n v="2056.98"/>
    <n v="2.4166608119542337E-2"/>
    <n v="5812.52"/>
    <n v="6.8288895870160252E-2"/>
    <n v="33180.71"/>
    <n v="1813.55"/>
    <n v="5.4656756892784993E-2"/>
    <n v="2504.65"/>
    <n v="7.5485123736050264E-2"/>
    <n v="977.82"/>
    <n v="2.9469532146840741E-2"/>
    <n v="8295.48"/>
    <n v="0.25000911674283038"/>
    <n v="23.845837647661792"/>
    <n v="17.937627179186631"/>
    <n v="153.77260041194643"/>
    <n v="8.0782257890367984E-2"/>
  </r>
  <r>
    <x v="13"/>
    <x v="2"/>
    <x v="24"/>
    <n v="100240.5"/>
    <n v="5473"/>
    <n v="94767.5"/>
    <n v="59175.830583155199"/>
    <n v="29115.970373690099"/>
    <n v="30059.860209465001"/>
    <n v="4857.8900291919699"/>
    <n v="54317.940553963126"/>
    <n v="37053.749569892898"/>
    <n v="789.48000520467804"/>
    <n v="469"/>
    <n v="213.7324093816631"/>
    <n v="133.04322052218001"/>
    <n v="126.17447885534136"/>
    <n v="0.59033854163890942"/>
    <n v="1.0284405250141804"/>
    <n v="81253.23000000001"/>
    <n v="57804.430000000008"/>
    <n v="2064"/>
    <n v="3.5706605877784792E-2"/>
    <n v="1712"/>
    <n v="2.9617107200953278E-2"/>
    <n v="518.66"/>
    <n v="8.9726687037654362E-3"/>
    <n v="7386.48"/>
    <n v="0.12778397780239331"/>
    <n v="23448.800000000003"/>
    <n v="1928.56"/>
    <n v="8.2245573334243108E-2"/>
    <n v="942.58"/>
    <n v="4.0197366176520755E-2"/>
    <n v="2811.77"/>
    <n v="0.11991104022380675"/>
    <n v="9981.77"/>
    <n v="0.42568361707208896"/>
    <n v="25.609491114726591"/>
    <n v="19.783991117737244"/>
    <n v="93.421513944223136"/>
    <n v="7.7854207341307213E-2"/>
  </r>
  <r>
    <x v="13"/>
    <x v="2"/>
    <x v="25"/>
    <n v="107208"/>
    <n v="5462"/>
    <n v="101746"/>
    <n v="58166.070476055102"/>
    <n v="27093.880281925201"/>
    <n v="31072.1901941299"/>
    <n v="3783.4500198364299"/>
    <n v="54382.620456218669"/>
    <n v="32986.479670524597"/>
    <n v="1736.6999958604599"/>
    <n v="498"/>
    <n v="215.27710843373495"/>
    <n v="145.55184805946777"/>
    <n v="116.79933830533153"/>
    <n v="0.54255345194439875"/>
    <n v="0.84665080493146305"/>
    <n v="84163.860000000015"/>
    <n v="62162.740000000005"/>
    <n v="1841.97"/>
    <n v="2.9631415861012561E-2"/>
    <n v="811.2"/>
    <n v="1.3049617825726471E-2"/>
    <n v="786.06"/>
    <n v="1.2645195498139238E-2"/>
    <n v="6211.83"/>
    <n v="9.9928510229761416E-2"/>
    <n v="22001.120000000003"/>
    <n v="1387.68"/>
    <n v="6.3073152639501986E-2"/>
    <n v="2214.5700000000002"/>
    <n v="0.10065714836335604"/>
    <n v="1250.68"/>
    <n v="5.6846196920884023E-2"/>
    <n v="8336.67"/>
    <n v="0.37892025496883791"/>
    <n v="25.758051232177046"/>
    <n v="20.304962418021933"/>
    <n v="106.79003343760112"/>
    <n v="5.2196446130692124E-2"/>
  </r>
  <r>
    <x v="13"/>
    <x v="2"/>
    <x v="26"/>
    <n v="127381"/>
    <n v="7401"/>
    <n v="119980"/>
    <n v="74303.710688278094"/>
    <n v="34228.300417915001"/>
    <n v="40075.4102703631"/>
    <n v="6354.8000421524002"/>
    <n v="67948.910646125703"/>
    <n v="43532.909461364201"/>
    <n v="871.77000594139099"/>
    <n v="580"/>
    <n v="219.62241379310345"/>
    <n v="143.06262160809379"/>
    <n v="128.10984601427259"/>
    <n v="0.58331863220007774"/>
    <n v="0.96974988505285542"/>
    <n v="87309.11"/>
    <n v="67112.89"/>
    <n v="1153.9100000000001"/>
    <n v="1.7193567435406225E-2"/>
    <n v="1813.25"/>
    <n v="2.7017909674281648E-2"/>
    <n v="2121.27"/>
    <n v="3.1607490006763231E-2"/>
    <n v="3422.4"/>
    <n v="5.0994674793471119E-2"/>
    <n v="20196.22"/>
    <n v="1534.16"/>
    <n v="7.5962729659312486E-2"/>
    <n v="1364.25"/>
    <n v="6.7549769214239094E-2"/>
    <n v="1362.28"/>
    <n v="6.7452226208666768E-2"/>
    <n v="5286.43"/>
    <n v="0.26175343702930548"/>
    <n v="21.373597366431568"/>
    <n v="17.461882862122096"/>
    <n v="83.624392712550616"/>
    <n v="7.658570543205126E-2"/>
  </r>
  <r>
    <x v="13"/>
    <x v="2"/>
    <x v="27"/>
    <n v="132962.5"/>
    <n v="7683"/>
    <n v="125279.5"/>
    <n v="78846.010718226404"/>
    <n v="39478.920460104899"/>
    <n v="39367.090258121498"/>
    <n v="5266.3800344467199"/>
    <n v="73579.630683779687"/>
    <n v="48047.389366149902"/>
    <n v="1956.57000564039"/>
    <n v="680"/>
    <n v="195.53308823529412"/>
    <n v="121.99785386501428"/>
    <n v="115.95001576209765"/>
    <n v="0.59299434591126376"/>
    <n v="1.0148515643746434"/>
    <n v="106470.63"/>
    <n v="78512.740000000005"/>
    <n v="3204.72"/>
    <n v="4.0817834150228355E-2"/>
    <n v="2250"/>
    <n v="2.8657769426974525E-2"/>
    <n v="1689.99"/>
    <n v="2.1525041668396746E-2"/>
    <n v="4971.4799999999996"/>
    <n v="6.3320678911473471E-2"/>
    <n v="27957.89"/>
    <n v="1882.76"/>
    <n v="6.7342707192853249E-2"/>
    <n v="1747.4"/>
    <n v="6.2501140107497383E-2"/>
    <n v="2083.4699999999998"/>
    <n v="7.4521718198333267E-2"/>
    <n v="10704.63"/>
    <n v="0.38288404453984187"/>
    <n v="22.768080966003595"/>
    <n v="17.899083786542782"/>
    <n v="96.439772335288026"/>
    <n v="6.348207182246296E-2"/>
  </r>
  <r>
    <x v="13"/>
    <x v="2"/>
    <x v="28"/>
    <n v="160780.89000225099"/>
    <n v="6762"/>
    <n v="154018.89000225099"/>
    <n v="97226.660110950499"/>
    <n v="43482.1800532341"/>
    <n v="53744.480057716399"/>
    <n v="7831.5399675369299"/>
    <n v="89395.120143413573"/>
    <n v="62168.760026931799"/>
    <n v="2555.6899995803801"/>
    <n v="688"/>
    <n v="233.69315407303924"/>
    <n v="139.61691856938782"/>
    <n v="141.31781992870711"/>
    <n v="0.6047152749906366"/>
    <n v="1.1020319671874013"/>
    <n v="102520.87000000001"/>
    <n v="79499.460000000006"/>
    <n v="1505.44"/>
    <n v="1.8936480826410643E-2"/>
    <n v="2270.0300000000002"/>
    <n v="2.8554030429892227E-2"/>
    <n v="1466.61"/>
    <n v="1.8448049835810203E-2"/>
    <n v="1739.88"/>
    <n v="2.1885431674630241E-2"/>
    <n v="23021.410000000003"/>
    <n v="1638.92"/>
    <n v="7.1191121655884662E-2"/>
    <n v="1703.6"/>
    <n v="7.400068023635388E-2"/>
    <n v="1986.38"/>
    <n v="8.6284028649852448E-2"/>
    <n v="7285.65"/>
    <n v="0.31647279640995052"/>
    <n v="20.401892060714822"/>
    <n v="16.603318908485285"/>
    <n v="97.177754326720148"/>
    <n v="8.1530608145741812E-2"/>
  </r>
  <r>
    <x v="13"/>
    <x v="3"/>
    <x v="29"/>
    <n v="171060.420003204"/>
    <n v="8632"/>
    <n v="162428.420003204"/>
    <n v="106543.150208987"/>
    <n v="46548.350038528399"/>
    <n v="59994.800170458897"/>
    <n v="9309.7000069618207"/>
    <n v="97233.450202025473"/>
    <n v="66575.519950866699"/>
    <n v="3941.63000199199"/>
    <n v="737"/>
    <n v="232.10369064206785"/>
    <n v="136.42234742244955"/>
    <n v="144.56329743417544"/>
    <n v="0.62283928805384503"/>
    <n v="1.1678064352663584"/>
    <n v="119165.39"/>
    <n v="89201.48"/>
    <n v="4114.54"/>
    <n v="4.6126364719509143E-2"/>
    <n v="3398.05"/>
    <n v="3.8094098887148514E-2"/>
    <n v="1596.02"/>
    <n v="1.7892304029036288E-2"/>
    <n v="3381.95"/>
    <n v="3.7913608608287665E-2"/>
    <n v="29963.91"/>
    <n v="1024.5899999999999"/>
    <n v="3.4194135545060705E-2"/>
    <n v="1916.46"/>
    <n v="6.395894260795737E-2"/>
    <n v="2077.96"/>
    <n v="6.9348759891482786E-2"/>
    <n v="12373.39"/>
    <n v="0.41294310388730976"/>
    <n v="19.115344328185909"/>
    <n v="15.205616756877372"/>
    <n v="81.497464038240437"/>
    <n v="9.2593964790484221E-2"/>
  </r>
  <r>
    <x v="13"/>
    <x v="3"/>
    <x v="30"/>
    <n v="254383.97000411901"/>
    <n v="6831"/>
    <n v="247552.97000411901"/>
    <n v="147938.24024714899"/>
    <n v="74748.5600188971"/>
    <n v="73189.680228251993"/>
    <n v="8975.1200360059702"/>
    <n v="138963.1202111431"/>
    <n v="104646.969971165"/>
    <n v="3012.9299917221101"/>
    <n v="1024"/>
    <n v="248.42184570714747"/>
    <n v="143.28522464964053"/>
    <n v="144.47093774135652"/>
    <n v="0.58155488431426572"/>
    <n v="1.0739700029766948"/>
    <n v="182310.32"/>
    <n v="138075.67000000001"/>
    <n v="3300.98"/>
    <n v="2.39070359028495E-2"/>
    <n v="3852.93"/>
    <n v="2.7904481651256877E-2"/>
    <n v="1570.79"/>
    <n v="1.1376298228355508E-2"/>
    <n v="4584.41"/>
    <n v="3.3202156469709684E-2"/>
    <n v="44234.649999999994"/>
    <n v="3936.34"/>
    <n v="8.8987705339592396E-2"/>
    <n v="2523.5300000000002"/>
    <n v="5.7048716334366846E-2"/>
    <n v="3050.67"/>
    <n v="6.8965618581813132E-2"/>
    <n v="15800.16"/>
    <n v="0.35718966918467765"/>
    <n v="22.56715266488807"/>
    <n v="17.717927598105049"/>
    <n v="154.89528052291647"/>
    <n v="6.1170059101303638E-2"/>
  </r>
  <r>
    <x v="13"/>
    <x v="3"/>
    <x v="31"/>
    <n v="280274.61000377499"/>
    <n v="15883"/>
    <n v="264391.61000377499"/>
    <n v="186548.220303237"/>
    <n v="94419.320018649101"/>
    <n v="92128.900284588293"/>
    <n v="9548.3200160265005"/>
    <n v="176999.90028721088"/>
    <n v="94067.500273346901"/>
    <n v="5739.7200046181697"/>
    <n v="1411"/>
    <n v="198.63544295093905"/>
    <n v="127.90034707711546"/>
    <n v="132.20993643035959"/>
    <n v="0.66559086568963488"/>
    <n v="1.0914418187507802"/>
    <n v="202928.73999999996"/>
    <n v="143245.32999999996"/>
    <n v="3829.97"/>
    <n v="2.6737136910501731E-2"/>
    <n v="1538.43"/>
    <n v="1.0739826561885128E-2"/>
    <n v="2802.68"/>
    <n v="1.9565594215183144E-2"/>
    <n v="4011.55"/>
    <n v="2.8004752406239012E-2"/>
    <n v="59683.41"/>
    <n v="3624.11"/>
    <n v="6.0722234202100718E-2"/>
    <n v="5385.01"/>
    <n v="9.0226245450787751E-2"/>
    <n v="4802"/>
    <n v="8.045786928059237E-2"/>
    <n v="25233.51"/>
    <n v="0.42278934799469398"/>
    <n v="23.599203118328816"/>
    <n v="17.531349535990387"/>
    <n v="139.3965562879535"/>
    <n v="5.2908838713374089E-2"/>
  </r>
  <r>
    <x v="13"/>
    <x v="3"/>
    <x v="32"/>
    <n v="117891.830001831"/>
    <n v="5148"/>
    <n v="112743.830001831"/>
    <n v="62540.110080033497"/>
    <n v="26536.899974376"/>
    <n v="36003.210105657599"/>
    <n v="4449.0799918174698"/>
    <n v="58091.030088216132"/>
    <n v="39787.040016174302"/>
    <n v="153.299997329712"/>
    <n v="475"/>
    <n v="248.1933263196442"/>
    <n v="164.10839997542521"/>
    <n v="131.66338964217599"/>
    <n v="0.53048722781775703"/>
    <n v="0.85085795258962948"/>
    <n v="80664"/>
    <n v="64511.71"/>
    <n v="4353.54"/>
    <n v="6.7484492350303529E-2"/>
    <n v="533.1"/>
    <n v="8.2636160163790419E-3"/>
    <n v="571.77"/>
    <n v="8.8630420740668635E-3"/>
    <n v="-191.19"/>
    <n v="-2.9636479950694221E-3"/>
    <n v="16152.289999999999"/>
    <n v="1205.56"/>
    <n v="7.4637094802037354E-2"/>
    <n v="981.07"/>
    <n v="6.07387559287259E-2"/>
    <n v="611.91999999999996"/>
    <n v="3.7884411436396946E-2"/>
    <n v="1505.51"/>
    <n v="9.3207217057147934E-2"/>
    <n v="22.446294074459786"/>
    <n v="18.792068629344996"/>
    <n v="100.49817490494296"/>
    <n v="5.7074983332373853E-2"/>
  </r>
  <r>
    <x v="13"/>
    <x v="3"/>
    <x v="52"/>
    <n v="62961.359998703003"/>
    <n v="3016"/>
    <n v="59945.359998703003"/>
    <n v="30065.890049934402"/>
    <n v="14055.910015106199"/>
    <n v="16009.980034828201"/>
    <n v="860.01000058651005"/>
    <n v="29205.880049347892"/>
    <n v="21096.959949493401"/>
    <n v="0"/>
    <n v="235"/>
    <n v="267.92068084554467"/>
    <n v="178.14638318812595"/>
    <n v="127.93995765929533"/>
    <n v="0.47752923460601482"/>
    <n v="0.73323588070160794"/>
    <n v="47959.74"/>
    <n v="41762.29"/>
    <n v="207.48"/>
    <n v="4.9681183670723036E-3"/>
    <n v="0"/>
    <n v="0"/>
    <n v="0"/>
    <n v="0"/>
    <n v="0"/>
    <n v="0"/>
    <n v="6197.45"/>
    <n v="594"/>
    <n v="9.5845872092554199E-2"/>
    <n v="0"/>
    <n v="0"/>
    <n v="0"/>
    <n v="0"/>
    <n v="0"/>
    <n v="0"/>
    <n v="25.784560004513942"/>
    <n v="23.821725231414447"/>
    <n v="57.97427502338634"/>
    <n v="2.0542752304478492E-2"/>
  </r>
  <r>
    <x v="13"/>
    <x v="3"/>
    <x v="55"/>
    <n v="43206.5"/>
    <n v="2829"/>
    <n v="40377.5"/>
    <n v="20736.110021591201"/>
    <n v="8706.2000083923303"/>
    <n v="12029.9100131989"/>
    <n v="811.25999832153298"/>
    <n v="19924.850023269697"/>
    <n v="14795.2199859619"/>
    <n v="0"/>
    <n v="166"/>
    <n v="260.28012048192772"/>
    <n v="171.15228924119339"/>
    <n v="124.91632543127247"/>
    <n v="0.47993033505586497"/>
    <n v="0.7513077892618647"/>
    <n v="20625.879999999997"/>
    <n v="19249.509999999998"/>
    <n v="0"/>
    <n v="0"/>
    <n v="0"/>
    <n v="0"/>
    <n v="0"/>
    <n v="0"/>
    <n v="0"/>
    <n v="0"/>
    <n v="1376.3700000000001"/>
    <n v="0"/>
    <n v="0"/>
    <n v="0"/>
    <n v="0"/>
    <n v="0"/>
    <n v="0"/>
    <n v="0"/>
    <n v="0"/>
    <n v="20.319644889369481"/>
    <n v="20.097541390139501"/>
    <n v="24.034400465657743"/>
    <n v="2.8554151658098013E-2"/>
  </r>
  <r>
    <x v="13"/>
    <x v="3"/>
    <x v="33"/>
    <n v="143170.24000453899"/>
    <n v="7865"/>
    <n v="135305.24000453899"/>
    <n v="83161.130102582305"/>
    <n v="37732.150017388201"/>
    <n v="45428.980085194104"/>
    <n v="6967.3599891662598"/>
    <n v="76193.770113416045"/>
    <n v="52962.599973373101"/>
    <n v="1073.0800002813301"/>
    <n v="582"/>
    <n v="245.99697595281614"/>
    <n v="153.15216500151988"/>
    <n v="142.88853969515861"/>
    <n v="0.58085486271410736"/>
    <n v="1.01209643337438"/>
    <n v="93412.62"/>
    <n v="68380.22"/>
    <n v="479.66"/>
    <n v="7.0146015909279035E-3"/>
    <n v="1875.11"/>
    <n v="2.7421818765719089E-2"/>
    <n v="466.27"/>
    <n v="6.8187847304381289E-3"/>
    <n v="2480.36"/>
    <n v="3.6273062590322175E-2"/>
    <n v="25032.399999999998"/>
    <n v="2032.27"/>
    <n v="8.1185583483805002E-2"/>
    <n v="1896.3"/>
    <n v="7.5753823045333249E-2"/>
    <n v="1187.1600000000001"/>
    <n v="4.7424937281283462E-2"/>
    <n v="7676.62"/>
    <n v="0.30666735910260307"/>
    <n v="19.174707201636885"/>
    <n v="15.06436813236542"/>
    <n v="75.295478092309736"/>
    <n v="7.8166762552618355E-2"/>
  </r>
  <r>
    <x v="13"/>
    <x v="3"/>
    <x v="34"/>
    <n v="160236.010002136"/>
    <n v="4497"/>
    <n v="155739.010002136"/>
    <n v="98073.070143684701"/>
    <n v="51427.020038127899"/>
    <n v="46646.050105556802"/>
    <n v="5831.1099963188199"/>
    <n v="92241.960147365884"/>
    <n v="62479.1000881195"/>
    <n v="1301.40999555588"/>
    <n v="754"/>
    <n v="212.51460212484881"/>
    <n v="127.92506620485493"/>
    <n v="130.07038480594787"/>
    <n v="0.6120538706772426"/>
    <n v="1.0821928867928634"/>
    <n v="95928.23000000001"/>
    <n v="74721.23000000001"/>
    <n v="1274.0899999999999"/>
    <n v="1.7051245007610284E-2"/>
    <n v="1675.82"/>
    <n v="2.2427628667247578E-2"/>
    <n v="3081.88"/>
    <n v="4.1245038391364806E-2"/>
    <n v="2625.97"/>
    <n v="3.5143559601468012E-2"/>
    <n v="21207"/>
    <n v="2192.41"/>
    <n v="0.10338143065968783"/>
    <n v="1496.47"/>
    <n v="7.0564907813457825E-2"/>
    <n v="2102.98"/>
    <n v="9.9164426840194275E-2"/>
    <n v="6607.22"/>
    <n v="0.31155844768236907"/>
    <n v="20.057411062323496"/>
    <n v="16.124006211098962"/>
    <n v="142.78671354829055"/>
    <n v="6.0453888075311338E-2"/>
  </r>
  <r>
    <x v="13"/>
    <x v="3"/>
    <x v="50"/>
    <n v="83421.850006580396"/>
    <n v="3563"/>
    <n v="79858.850006580396"/>
    <n v="48104.550060197696"/>
    <n v="23270.669952318101"/>
    <n v="24833.880107879599"/>
    <n v="5074.5900062322598"/>
    <n v="43029.960053965435"/>
    <n v="30541.870086744399"/>
    <n v="225"/>
    <n v="388"/>
    <n v="215.0047680581969"/>
    <n v="135.70871113359794"/>
    <n v="123.98079912422087"/>
    <n v="0.57664209144730261"/>
    <n v="1.0110163062460338"/>
    <n v="53241.869999999995"/>
    <n v="46440.649999999994"/>
    <n v="4643"/>
    <n v="9.997706750443848E-2"/>
    <n v="208.83"/>
    <n v="4.4967070874331007E-3"/>
    <n v="999.88"/>
    <n v="2.1530275739034661E-2"/>
    <n v="547"/>
    <n v="1.17784742461615E-2"/>
    <n v="6801.2199999999993"/>
    <n v="924.87"/>
    <n v="0.13598589664795435"/>
    <n v="632.39"/>
    <n v="9.2981847374441651E-2"/>
    <n v="927.23"/>
    <n v="0.13633289321621711"/>
    <n v="86.49"/>
    <n v="1.2716836097053177E-2"/>
    <n v="22.966875724718754"/>
    <n v="20.971143104722344"/>
    <n v="65.58553519768563"/>
    <n v="9.6374360297126968E-2"/>
  </r>
  <r>
    <x v="13"/>
    <x v="3"/>
    <x v="35"/>
    <n v="161295.63000249901"/>
    <n v="11442"/>
    <n v="149853.63000249901"/>
    <n v="91941.170095831199"/>
    <n v="39712.009991168998"/>
    <n v="52229.160104662202"/>
    <n v="6652.0200040340396"/>
    <n v="85289.150091797157"/>
    <n v="57341.910017013499"/>
    <n v="68"/>
    <n v="710"/>
    <n v="227.17694366549156"/>
    <n v="146.31791547251481"/>
    <n v="129.49460576877632"/>
    <n v="0.57001649762245088"/>
    <n v="0.94556897570873177"/>
    <n v="101544.20999999998"/>
    <n v="77004.879999999976"/>
    <n v="1585.51"/>
    <n v="2.0589734053218452E-2"/>
    <n v="1854.15"/>
    <n v="2.4078344125722951E-2"/>
    <n v="860.68"/>
    <n v="1.1176953980059448E-2"/>
    <n v="1956.06"/>
    <n v="2.540176674517252E-2"/>
    <n v="24539.33"/>
    <n v="727.88"/>
    <n v="2.9661771531659581E-2"/>
    <n v="1710.57"/>
    <n v="6.9707282146660068E-2"/>
    <n v="1250.3900000000001"/>
    <n v="5.0954528913381092E-2"/>
    <n v="8913.1200000000008"/>
    <n v="0.36321774066366114"/>
    <n v="21.187038138866988"/>
    <n v="17.304742217201497"/>
    <n v="71.580336423154222"/>
    <n v="6.4032092235231486E-2"/>
  </r>
  <r>
    <x v="13"/>
    <x v="3"/>
    <x v="36"/>
    <n v="125406.21000433"/>
    <n v="4753"/>
    <n v="120653.21000433"/>
    <n v="69651.810117796107"/>
    <n v="33186.060021475001"/>
    <n v="36465.750096321099"/>
    <n v="6384.80000710487"/>
    <n v="63267.010110691219"/>
    <n v="43663.670030519403"/>
    <n v="29.5"/>
    <n v="522"/>
    <n v="240.24178161749043"/>
    <n v="156.53839075442644"/>
    <n v="133.43258643255956"/>
    <n v="0.55540957752723064"/>
    <n v="0.92464406640300423"/>
    <n v="81620.210000000006"/>
    <n v="64443.26"/>
    <n v="2551.75"/>
    <n v="3.9596848452421556E-2"/>
    <n v="425.39"/>
    <n v="6.6010006321840327E-3"/>
    <n v="173.73"/>
    <n v="2.6958598928732034E-3"/>
    <n v="-291.63"/>
    <n v="-4.5253762767432934E-3"/>
    <n v="17176.95"/>
    <n v="1911.77"/>
    <n v="0.11129857163233287"/>
    <n v="2071.58"/>
    <n v="0.12060231880514292"/>
    <n v="1697.25"/>
    <n v="9.880974212534821E-2"/>
    <n v="2760.23"/>
    <n v="0.16069383679873317"/>
    <n v="21.317920806065811"/>
    <n v="17.79096344111813"/>
    <n v="83.194785276073617"/>
    <n v="7.8136855624894475E-2"/>
  </r>
  <r>
    <x v="13"/>
    <x v="3"/>
    <x v="58"/>
    <n v="43130.360000610402"/>
    <n v="2078"/>
    <n v="41052.360000610402"/>
    <n v="15447.740020752"/>
    <n v="2165.0999908447302"/>
    <n v="13282.640029907199"/>
    <n v="0"/>
    <n v="15447.740020751929"/>
    <n v="2602.9200096130398"/>
    <n v="10"/>
    <n v="187"/>
    <n v="230.64363636690055"/>
    <n v="216.67080209089499"/>
    <n v="82.608235405090525"/>
    <n v="0.35816394809904917"/>
    <n v="0.38126150181710117"/>
    <n v="25069.7"/>
    <n v="24957.99"/>
    <n v="0"/>
    <n v="0"/>
    <n v="0"/>
    <n v="0"/>
    <n v="0"/>
    <n v="0"/>
    <n v="0"/>
    <n v="0"/>
    <n v="111.71"/>
    <n v="0"/>
    <n v="0"/>
    <n v="0"/>
    <n v="0"/>
    <n v="0"/>
    <n v="0"/>
    <n v="0"/>
    <n v="0"/>
    <n v="17.437623984343187"/>
    <n v="18.238651809271552"/>
    <n v="1.6127526467757458"/>
    <n v="0"/>
  </r>
  <r>
    <x v="13"/>
    <x v="4"/>
    <x v="37"/>
    <n v="92696.810003776103"/>
    <n v="5546"/>
    <n v="87150.810003776103"/>
    <n v="56740.4400104284"/>
    <n v="28779.899936676"/>
    <n v="27960.5400737524"/>
    <n v="4744.2199907302902"/>
    <n v="51996.220019698107"/>
    <n v="37320.640045166001"/>
    <n v="1053.07999372482"/>
    <n v="384"/>
    <n v="241.39794271816695"/>
    <n v="141.46638011688876"/>
    <n v="147.76156252715728"/>
    <n v="0.61210779538278626"/>
    <n v="1.1444480287672283"/>
    <n v="68615.199999999997"/>
    <n v="50984.479999999996"/>
    <n v="247"/>
    <n v="4.8446115366872437E-3"/>
    <n v="1128.3800000000001"/>
    <n v="2.2131833059786041E-2"/>
    <n v="1662.19"/>
    <n v="3.2601881984478415E-2"/>
    <n v="2143.34"/>
    <n v="4.2039067575073835E-2"/>
    <n v="17630.72"/>
    <n v="625.88"/>
    <n v="3.5499401045447944E-2"/>
    <n v="2011.24"/>
    <n v="0.11407588572673151"/>
    <n v="1238.53"/>
    <n v="7.0248407325395668E-2"/>
    <n v="7649.82"/>
    <n v="0.4338915257005953"/>
    <n v="21.244663563282575"/>
    <n v="16.704809518497701"/>
    <n v="99.228616096554319"/>
    <n v="8.7333397157580289E-2"/>
  </r>
  <r>
    <x v="13"/>
    <x v="4"/>
    <x v="38"/>
    <n v="215271.15001201601"/>
    <n v="8570"/>
    <n v="206701.15001201601"/>
    <n v="132502.56011350799"/>
    <n v="66023.409985143706"/>
    <n v="66479.150128364607"/>
    <n v="10472.4499793053"/>
    <n v="122030.11013420302"/>
    <n v="83422.519995193899"/>
    <n v="2539.0299976319102"/>
    <n v="931"/>
    <n v="231.2257250397594"/>
    <n v="138.89323310331923"/>
    <n v="142.32283578250087"/>
    <n v="0.61551471298458849"/>
    <n v="1.1149927448532462"/>
    <n v="173748.16999999998"/>
    <n v="140636.35"/>
    <n v="9738.74"/>
    <n v="6.9247673165579171E-2"/>
    <n v="7286.39"/>
    <n v="5.1810147234338778E-2"/>
    <n v="5098.3999999999996"/>
    <n v="3.6252362920397178E-2"/>
    <n v="8449.34"/>
    <n v="6.0079346484745944E-2"/>
    <n v="33111.819999999992"/>
    <n v="2814.3"/>
    <n v="8.4993817917589573E-2"/>
    <n v="2846.39"/>
    <n v="8.5962958242706097E-2"/>
    <n v="3261.6"/>
    <n v="9.8502589105642663E-2"/>
    <n v="13341.73"/>
    <n v="0.40292952788460445"/>
    <n v="24.612964512524201"/>
    <n v="20.875005138776004"/>
    <n v="102.78563101438274"/>
    <n v="8.0987412982107557E-2"/>
  </r>
  <r>
    <x v="13"/>
    <x v="4"/>
    <x v="40"/>
    <n v="234588.45000560599"/>
    <n v="9766"/>
    <n v="224822.45000560599"/>
    <n v="145501.190140158"/>
    <n v="72322.800055742293"/>
    <n v="73178.390084415703"/>
    <n v="8655.0699894428308"/>
    <n v="136846.12015071517"/>
    <n v="83434.120046406999"/>
    <n v="3095.9299888610799"/>
    <n v="1085"/>
    <n v="216.21055300055852"/>
    <n v="136.45935481137136"/>
    <n v="134.10247939185069"/>
    <n v="0.62024021274994967"/>
    <n v="1.0437425717168922"/>
    <n v="182849.84"/>
    <n v="142175.87"/>
    <n v="7536.07"/>
    <n v="5.3005267349515779E-2"/>
    <n v="5419.43"/>
    <n v="3.8117790311393916E-2"/>
    <n v="3808.93"/>
    <n v="2.6790270388357743E-2"/>
    <n v="4301.72"/>
    <n v="3.0256329713333214E-2"/>
    <n v="40673.97"/>
    <n v="3125.38"/>
    <n v="7.6839806883862091E-2"/>
    <n v="3493.64"/>
    <n v="8.5893754654389518E-2"/>
    <n v="3627.32"/>
    <n v="8.9180377524003679E-2"/>
    <n v="12892.36"/>
    <n v="0.31696832150881754"/>
    <n v="22.73533265755092"/>
    <n v="18.478859941882103"/>
    <n v="116.68921296739026"/>
    <n v="5.8457135773294804E-2"/>
  </r>
  <r>
    <x v="13"/>
    <x v="4"/>
    <x v="41"/>
    <n v="0"/>
    <n v="0"/>
    <n v="0"/>
    <n v="0"/>
    <n v="0"/>
    <n v="0"/>
    <n v="0"/>
    <n v="0"/>
    <n v="0"/>
    <n v="-5.4400000572199998"/>
    <n v="0"/>
    <s v="$0.00"/>
    <s v="$0.00"/>
    <s v="$0.00"/>
    <s v="0.00%"/>
    <n v="0"/>
    <n v="-79.31"/>
    <n v="-25"/>
    <n v="0"/>
    <n v="0"/>
    <n v="0"/>
    <n v="0"/>
    <n v="0"/>
    <n v="0"/>
    <n v="-25"/>
    <n v="0"/>
    <n v="-54.31"/>
    <n v="0"/>
    <n v="0"/>
    <n v="0"/>
    <n v="0"/>
    <n v="0"/>
    <n v="0"/>
    <n v="-54.31"/>
    <n v="1"/>
    <n v="0"/>
    <n v="0"/>
    <n v="0"/>
    <n v="0"/>
  </r>
  <r>
    <x v="13"/>
    <x v="4"/>
    <x v="42"/>
    <n v="268726.12000430701"/>
    <n v="9603"/>
    <n v="259123.12000430701"/>
    <n v="152885.810189724"/>
    <n v="90533.400110840797"/>
    <n v="62352.4100788832"/>
    <n v="7883.5799987316104"/>
    <n v="145002.23019099238"/>
    <n v="100802.109876174"/>
    <n v="6832.84998841584"/>
    <n v="1183"/>
    <n v="227.15648352012428"/>
    <n v="136.17173300060622"/>
    <n v="129.2356806337481"/>
    <n v="0.5689279858142321"/>
    <n v="0.99789977786369677"/>
    <n v="251575.78999999998"/>
    <n v="196965.16999999998"/>
    <n v="5930.83"/>
    <n v="3.0111059737109869E-2"/>
    <n v="9094.7099999999991"/>
    <n v="4.6174204302212418E-2"/>
    <n v="5926.76"/>
    <n v="3.009039618527479E-2"/>
    <n v="9556.0400000000009"/>
    <n v="4.8516395056039614E-2"/>
    <n v="54610.62"/>
    <n v="3489.11"/>
    <n v="6.389068646354866E-2"/>
    <n v="5078.58"/>
    <n v="9.2996197442914943E-2"/>
    <n v="3963.3"/>
    <n v="7.2573796085816281E-2"/>
    <n v="23385.45"/>
    <n v="0.4282216535904555"/>
    <n v="28.373926923934345"/>
    <n v="23.07660292686522"/>
    <n v="164.90373427277305"/>
    <n v="4.8938625756336007E-2"/>
  </r>
  <r>
    <x v="13"/>
    <x v="4"/>
    <x v="44"/>
    <n v="188729.81000289699"/>
    <n v="11887"/>
    <n v="176842.81000289699"/>
    <n v="125531.420027912"/>
    <n v="57667.449978768796"/>
    <n v="67863.970049142794"/>
    <n v="7329.13000392914"/>
    <n v="118202.29002398245"/>
    <n v="68397.489971220493"/>
    <n v="1637.80999135971"/>
    <n v="983"/>
    <n v="191.9937029530997"/>
    <n v="120.74721265545961"/>
    <n v="127.70236015046957"/>
    <n v="0.66513827373632539"/>
    <n v="1.1272032653854844"/>
    <n v="137759.10999999999"/>
    <n v="105288.28999999998"/>
    <n v="4844.92"/>
    <n v="4.6015753508771025E-2"/>
    <n v="5159.25"/>
    <n v="4.9001175724289955E-2"/>
    <n v="499.09"/>
    <n v="4.7402232479984248E-3"/>
    <n v="5191.8999999999996"/>
    <n v="4.931127668613481E-2"/>
    <n v="32470.82"/>
    <n v="2426.44"/>
    <n v="7.4726785464610992E-2"/>
    <n v="2566.63"/>
    <n v="7.9044200300454379E-2"/>
    <n v="2268.16"/>
    <n v="6.9852255040063663E-2"/>
    <n v="10691.82"/>
    <n v="0.32927471495946203"/>
    <n v="21.50834879853377"/>
    <n v="17.411266711462972"/>
    <n v="90.756950310559006"/>
    <n v="6.1747843278005574E-2"/>
  </r>
  <r>
    <x v="13"/>
    <x v="4"/>
    <x v="45"/>
    <n v="102501.250002403"/>
    <n v="4423"/>
    <n v="98078.250002402798"/>
    <n v="57416.030045270898"/>
    <n v="28629.1999769211"/>
    <n v="28786.830068349798"/>
    <n v="4055.1699895858801"/>
    <n v="53360.860055685014"/>
    <n v="37403.200054168701"/>
    <n v="1137.71998596191"/>
    <n v="544"/>
    <n v="188.42141544559337"/>
    <n v="117.57413596005917"/>
    <n v="105.54417287733621"/>
    <n v="0.5601495595802487"/>
    <n v="0.95844882262979814"/>
    <n v="73301.88"/>
    <n v="54578.490000000005"/>
    <n v="840.01"/>
    <n v="1.5390861857849126E-2"/>
    <n v="885.46"/>
    <n v="1.6223607505447657E-2"/>
    <n v="681.39"/>
    <n v="1.2484588708848485E-2"/>
    <n v="3574.52"/>
    <n v="6.5493200709656862E-2"/>
    <n v="18723.39"/>
    <n v="1139.6199999999999"/>
    <n v="6.0866114523064466E-2"/>
    <n v="853.83"/>
    <n v="4.5602318810856371E-2"/>
    <n v="1512.26"/>
    <n v="8.0768493312375594E-2"/>
    <n v="8448.1"/>
    <n v="0.45120568444069159"/>
    <n v="23.191410601718001"/>
    <n v="18.420351356761913"/>
    <n v="94.663507668108522"/>
    <n v="6.3401330042822807E-2"/>
  </r>
  <r>
    <x v="13"/>
    <x v="4"/>
    <x v="46"/>
    <n v="0"/>
    <n v="0"/>
    <n v="0"/>
    <n v="0"/>
    <n v="0"/>
    <n v="0"/>
    <n v="0"/>
    <n v="0"/>
    <n v="0"/>
    <n v="-10.440000057220001"/>
    <n v="0"/>
    <s v="$0.00"/>
    <s v="$0.00"/>
    <s v="$0.00"/>
    <s v="0.00%"/>
    <n v="0"/>
    <n v="-83.91"/>
    <n v="0"/>
    <n v="0"/>
    <s v="0.00%"/>
    <n v="0"/>
    <s v="0.00%"/>
    <n v="0"/>
    <n v="0"/>
    <n v="0"/>
    <s v="0.00%"/>
    <n v="-83.91"/>
    <n v="0"/>
    <n v="0"/>
    <n v="0"/>
    <n v="0"/>
    <n v="0"/>
    <n v="0"/>
    <n v="-83.91"/>
    <n v="1"/>
    <n v="0"/>
    <n v="0"/>
    <n v="0"/>
    <n v="0"/>
  </r>
  <r>
    <x v="13"/>
    <x v="4"/>
    <x v="47"/>
    <n v="172273.30000520701"/>
    <n v="9774"/>
    <n v="162499.30000520701"/>
    <n v="122265.86014556899"/>
    <n v="55206.000057697303"/>
    <n v="67059.860087871595"/>
    <n v="21063.290012478799"/>
    <n v="101202.57013309011"/>
    <n v="67204.810027618005"/>
    <n v="3225.9300184249901"/>
    <n v="767"/>
    <n v="224.60664928970928"/>
    <n v="132.78039108104826"/>
    <n v="159.40790110243665"/>
    <n v="0.70972031151590742"/>
    <n v="1.5135796625330369"/>
    <n v="155049.1"/>
    <n v="126294.91"/>
    <n v="9028.36"/>
    <n v="7.1486333059661705E-2"/>
    <n v="3677.85"/>
    <n v="2.9121126100806437E-2"/>
    <n v="3294.19"/>
    <n v="2.6083315630059833E-2"/>
    <n v="8631.17"/>
    <n v="6.8341392380738067E-2"/>
    <n v="28754.190000000002"/>
    <n v="1996.48"/>
    <n v="6.9432663552685708E-2"/>
    <n v="2970.79"/>
    <n v="0.10331676879091359"/>
    <n v="2541.2399999999998"/>
    <n v="8.8378076377738327E-2"/>
    <n v="9840.4699999999993"/>
    <n v="0.34222734147614653"/>
    <n v="26.060422769070001"/>
    <n v="22.432221498349527"/>
    <n v="89.988076361360328"/>
    <n v="0.20682207930480717"/>
  </r>
  <r>
    <x v="13"/>
    <x v="4"/>
    <x v="49"/>
    <n v="159841.5900004"/>
    <n v="5043"/>
    <n v="154798.5900004"/>
    <n v="91054.609934696899"/>
    <n v="47846.7699017618"/>
    <n v="43207.840032935099"/>
    <n v="6074.9000005722"/>
    <n v="84979.709934124694"/>
    <n v="56133.240114212"/>
    <n v="4002.6799879074101"/>
    <n v="776"/>
    <n v="205.9814304128866"/>
    <n v="128.48668801324817"/>
    <n v="117.33841486430013"/>
    <n v="0.56965530644727091"/>
    <n v="0.97248596838597035"/>
    <n v="129590.24999999999"/>
    <n v="96849.639999999985"/>
    <n v="3016.56"/>
    <n v="3.1146837510185897E-2"/>
    <n v="339.51"/>
    <n v="3.5055370365857843E-3"/>
    <n v="1694.42"/>
    <n v="1.7495367045246634E-2"/>
    <n v="3904.72"/>
    <n v="4.0317341396416143E-2"/>
    <n v="32740.61"/>
    <n v="2867.38"/>
    <n v="8.7578698136656585E-2"/>
    <n v="2509.7600000000002"/>
    <n v="7.6655871714057869E-2"/>
    <n v="3403.28"/>
    <n v="0.10394674992310773"/>
    <n v="15710.57"/>
    <n v="0.47984964238601541"/>
    <n v="25.546439008295476"/>
    <n v="19.973943605136313"/>
    <n v="146.20695147365288"/>
    <n v="6.0928330422630871E-2"/>
  </r>
  <r>
    <x v="14"/>
    <x v="0"/>
    <x v="1"/>
    <n v="172534.720010163"/>
    <n v="10415"/>
    <n v="162119.720010163"/>
    <n v="113244.26016593"/>
    <n v="61961.8800965548"/>
    <n v="51282.380069375002"/>
    <n v="5145.5500216484097"/>
    <n v="108098.71014428139"/>
    <n v="73933.169924011498"/>
    <n v="3834.2700077295299"/>
    <n v="883"/>
    <n v="195.39605890165686"/>
    <n v="107.32421299934538"/>
    <n v="128.24944526152865"/>
    <n v="0.65635635632792777"/>
    <n v="1.2635803849601188"/>
    <n v="129483.41999999998"/>
    <n v="92297.779999999984"/>
    <n v="5161.54"/>
    <n v="5.5922688498033224E-2"/>
    <n v="436.37"/>
    <n v="4.727849358890323E-3"/>
    <n v="1907.12"/>
    <n v="2.066268549471071E-2"/>
    <n v="1726.33"/>
    <n v="1.8703916822268102E-2"/>
    <n v="37185.64"/>
    <n v="2446.6799999999998"/>
    <n v="6.5796366554401103E-2"/>
    <n v="3823.1"/>
    <n v="0.10281119270772265"/>
    <n v="3191.23"/>
    <n v="8.5818880621659335E-2"/>
    <n v="11692.75"/>
    <n v="0.31444261817196101"/>
    <n v="20.514071532372398"/>
    <n v="15.458916424638907"/>
    <n v="108.91748624987795"/>
    <n v="5.4296694147920634E-2"/>
  </r>
  <r>
    <x v="14"/>
    <x v="0"/>
    <x v="3"/>
    <n v="223504.54000644601"/>
    <n v="17199.7899999619"/>
    <n v="206304.75000648401"/>
    <n v="149800.77019056701"/>
    <n v="77231.060072749897"/>
    <n v="72569.710117816896"/>
    <n v="6995.3800022602099"/>
    <n v="142805.39018830657"/>
    <n v="91741.529971767202"/>
    <n v="3790.0299910306899"/>
    <n v="1016"/>
    <n v="219.98478347091134"/>
    <n v="125.95765752327563"/>
    <n v="147.44170294347123"/>
    <n v="0.67023591639904267"/>
    <n v="1.2382521238586168"/>
    <n v="171469.16999999998"/>
    <n v="126507.64"/>
    <n v="3496.3"/>
    <n v="2.7637066030162291E-2"/>
    <n v="2235.4699999999998"/>
    <n v="1.7670632382360461E-2"/>
    <n v="3716"/>
    <n v="2.9373720037777957E-2"/>
    <n v="8713.4500000000007"/>
    <n v="6.8876867831855856E-2"/>
    <n v="44961.53"/>
    <n v="4603.37"/>
    <n v="0.10238463860104405"/>
    <n v="3127.64"/>
    <n v="6.9562579387311779E-2"/>
    <n v="3595.89"/>
    <n v="7.9977038147945587E-2"/>
    <n v="14645.71"/>
    <n v="0.32573869261121674"/>
    <n v="23.36325088713032"/>
    <n v="18.78347853811167"/>
    <n v="74.412528992900405"/>
    <n v="5.466294525511773E-2"/>
  </r>
  <r>
    <x v="14"/>
    <x v="0"/>
    <x v="56"/>
    <n v="159625.58000637"/>
    <n v="9282"/>
    <n v="150343.58000637"/>
    <n v="93409.240006923705"/>
    <n v="49213.359943866701"/>
    <n v="44195.880063056902"/>
    <n v="2210.45000982285"/>
    <n v="91198.789997100757"/>
    <n v="62882.640022277803"/>
    <n v="20"/>
    <n v="655"/>
    <n v="243.70317558224428"/>
    <n v="147.66861066273617"/>
    <n v="142.60952672812763"/>
    <n v="0.58517713766926338"/>
    <n v="0.98832693998807875"/>
    <n v="92198"/>
    <n v="77414.19"/>
    <n v="0"/>
    <n v="0"/>
    <n v="0"/>
    <n v="0"/>
    <n v="0"/>
    <n v="0"/>
    <n v="0"/>
    <n v="0"/>
    <n v="14783.810000000001"/>
    <n v="0"/>
    <n v="0"/>
    <n v="0"/>
    <n v="0"/>
    <n v="0"/>
    <n v="0"/>
    <n v="0"/>
    <n v="0"/>
    <n v="22.047078733964739"/>
    <n v="19.842769323540136"/>
    <n v="52.707292822056729"/>
    <n v="2.2853420400438591E-2"/>
  </r>
  <r>
    <x v="14"/>
    <x v="0"/>
    <x v="5"/>
    <n v="306539.05001443397"/>
    <n v="16141"/>
    <n v="290398.05001443397"/>
    <n v="207729.80995493001"/>
    <n v="113382.37982969399"/>
    <n v="94347.430125236497"/>
    <n v="10829.249968648001"/>
    <n v="196900.55998628249"/>
    <n v="129092.960160455"/>
    <n v="10924.0199712515"/>
    <n v="1333"/>
    <n v="229.96177795531432"/>
    <n v="124.92278310782257"/>
    <n v="155.8363165453342"/>
    <n v="0.67766181811142545"/>
    <n v="1.3342285795168209"/>
    <n v="264354.34999999998"/>
    <n v="198249.79"/>
    <n v="10690.33"/>
    <n v="5.3923537573482422E-2"/>
    <n v="6805.77"/>
    <n v="3.4329267133145512E-2"/>
    <n v="2344.1999999999998"/>
    <n v="1.1824476585826395E-2"/>
    <n v="12467.57"/>
    <n v="6.2888187674751128E-2"/>
    <n v="66104.56"/>
    <n v="7305.64"/>
    <n v="0.1105164303340042"/>
    <n v="5356.72"/>
    <n v="8.103404666788494E-2"/>
    <n v="3739.57"/>
    <n v="5.6570530081434631E-2"/>
    <n v="20350.330000000002"/>
    <n v="0.30785062331554741"/>
    <n v="23.183998932942611"/>
    <n v="18.510173603144064"/>
    <n v="95.508418416490073"/>
    <n v="6.5031920251018116E-2"/>
  </r>
  <r>
    <x v="14"/>
    <x v="0"/>
    <x v="8"/>
    <n v="269525.93001510599"/>
    <n v="13274"/>
    <n v="256251.93001510599"/>
    <n v="162984.43020202601"/>
    <n v="92452.600096840397"/>
    <n v="70531.830105185494"/>
    <n v="5328.3399842977497"/>
    <n v="157656.09021772814"/>
    <n v="108610.149855105"/>
    <n v="7468.7400129120797"/>
    <n v="1177"/>
    <n v="228.99399321589294"/>
    <n v="130.37131703236102"/>
    <n v="138.4744521682463"/>
    <n v="0.60470779265242192"/>
    <n v="1.1003636274345943"/>
    <n v="228071.75"/>
    <n v="181613.46"/>
    <n v="7438.25"/>
    <n v="4.0956490779923471E-2"/>
    <n v="3613.88"/>
    <n v="1.989874539034717E-2"/>
    <n v="2926.43"/>
    <n v="1.6113508326970918E-2"/>
    <n v="12200.79"/>
    <n v="6.7179987650695064E-2"/>
    <n v="46458.289999999994"/>
    <n v="3550.53"/>
    <n v="7.6424035408965779E-2"/>
    <n v="2885.31"/>
    <n v="6.2105385282153099E-2"/>
    <n v="4225.6400000000003"/>
    <n v="9.095556465810517E-2"/>
    <n v="15880.05"/>
    <n v="0.34181305424715375"/>
    <n v="25.542243864185586"/>
    <n v="21.521899496055845"/>
    <n v="94.686159106863826"/>
    <n v="3.4724293014646558E-2"/>
  </r>
  <r>
    <x v="14"/>
    <x v="0"/>
    <x v="10"/>
    <n v="217701.010003356"/>
    <n v="11251"/>
    <n v="206450.010003356"/>
    <n v="142074.18996655199"/>
    <n v="83565.629896335304"/>
    <n v="58508.560070216699"/>
    <n v="5662.9100053310403"/>
    <n v="136411.27996122098"/>
    <n v="90809.090052109197"/>
    <n v="7489.9300025105504"/>
    <n v="1066"/>
    <n v="204.22233583804504"/>
    <n v="112.00937143408655"/>
    <n v="133.27785175098688"/>
    <n v="0.65261153342541611"/>
    <n v="1.2491237843426015"/>
    <n v="244166.95"/>
    <n v="184628.76"/>
    <n v="14656.72"/>
    <n v="7.9384815236802755E-2"/>
    <n v="11533"/>
    <n v="6.2465891012862783E-2"/>
    <n v="4821"/>
    <n v="2.6111858195873708E-2"/>
    <n v="11226.22"/>
    <n v="6.0804286396117263E-2"/>
    <n v="59538.19"/>
    <n v="2664.01"/>
    <n v="4.4744558072726093E-2"/>
    <n v="2720.58"/>
    <n v="4.569470452494441E-2"/>
    <n v="5256.8"/>
    <n v="8.8292909139495168E-2"/>
    <n v="28211.58"/>
    <n v="0.47384006803028444"/>
    <n v="32.071951627935263"/>
    <n v="25.518522671688544"/>
    <n v="157.50380941183388"/>
    <n v="4.7427266561992303E-2"/>
  </r>
  <r>
    <x v="14"/>
    <x v="0"/>
    <x v="12"/>
    <n v="258076.82000226501"/>
    <n v="21675.5"/>
    <n v="236401.32000226501"/>
    <n v="169813.82026028601"/>
    <n v="95173.930122494698"/>
    <n v="74639.890137791605"/>
    <n v="6460.0700149536096"/>
    <n v="163353.75024533269"/>
    <n v="105209.650015263"/>
    <n v="7715.5199970602998"/>
    <n v="1250"/>
    <n v="206.461456001812"/>
    <n v="116.12131999195337"/>
    <n v="135.85105620822904"/>
    <n v="0.65799718184219691"/>
    <n v="1.2243989165810272"/>
    <n v="256905.3"/>
    <n v="196504.69999999998"/>
    <n v="12804.57"/>
    <n v="6.5161647533112446E-2"/>
    <n v="3663.72"/>
    <n v="1.8644439547756363E-2"/>
    <n v="5999.53"/>
    <n v="3.0531229024038611E-2"/>
    <n v="7905.21"/>
    <n v="4.0229114112792216E-2"/>
    <n v="60400.600000000006"/>
    <n v="4815.2"/>
    <n v="7.9721062373552573E-2"/>
    <n v="3567.59"/>
    <n v="5.9065472859541127E-2"/>
    <n v="5376.62"/>
    <n v="8.9016003152286555E-2"/>
    <n v="26228.799999999999"/>
    <n v="0.43424734191382197"/>
    <n v="28.704613620098083"/>
    <n v="23.929662681280639"/>
    <n v="81.821100452812956"/>
    <n v="4.4505660220888019E-2"/>
  </r>
  <r>
    <x v="14"/>
    <x v="0"/>
    <x v="13"/>
    <n v="195812.69000554999"/>
    <n v="11249"/>
    <n v="184563.69000554999"/>
    <n v="129777.590180099"/>
    <n v="71581.230103313894"/>
    <n v="58196.360076785102"/>
    <n v="5027.6100052595102"/>
    <n v="124749.98017483948"/>
    <n v="83447.959880828901"/>
    <n v="5622.8299996256801"/>
    <n v="839"/>
    <n v="233.38818832604289"/>
    <n v="127.22514913598975"/>
    <n v="154.68127554243026"/>
    <n v="0.66276394127684302"/>
    <n v="1.2759032189793587"/>
    <n v="180753.64"/>
    <n v="123916.52000000002"/>
    <n v="5833.33"/>
    <n v="4.7074675757518038E-2"/>
    <n v="3793"/>
    <n v="3.0609316659312248E-2"/>
    <n v="3373.08"/>
    <n v="2.722058366390534E-2"/>
    <n v="7342.52"/>
    <n v="5.9253762129536883E-2"/>
    <n v="56837.120000000003"/>
    <n v="5592.52"/>
    <n v="9.8395555580578331E-2"/>
    <n v="4401.09"/>
    <n v="7.7433374527069637E-2"/>
    <n v="6366.37"/>
    <n v="0.112010777463742"/>
    <n v="22958.03"/>
    <n v="0.40392669438564088"/>
    <n v="25.640785028605375"/>
    <n v="18.475142053652732"/>
    <n v="166.0663182157582"/>
    <n v="4.7100623085849502E-2"/>
  </r>
  <r>
    <x v="14"/>
    <x v="0"/>
    <x v="16"/>
    <n v="10"/>
    <n v="0"/>
    <n v="10"/>
    <n v="13769.470005512199"/>
    <n v="9747.5700011253393"/>
    <n v="4021.9000043869"/>
    <n v="4009.0899925231902"/>
    <n v="9760.3800129890496"/>
    <n v="13936.8200189564"/>
    <n v="3465.9799937754901"/>
    <n v="1"/>
    <n v="10"/>
    <n v="0"/>
    <n v="0"/>
    <n v="0"/>
    <n v="0"/>
    <n v="35901.119999999995"/>
    <n v="15502.3"/>
    <n v="978.29"/>
    <n v="6.3106119737071267E-2"/>
    <n v="635.5"/>
    <n v="4.0993917031666272E-2"/>
    <n v="1837.11"/>
    <n v="0.11850564109841766"/>
    <n v="2995.55"/>
    <n v="0.19323261709552778"/>
    <n v="20398.82"/>
    <n v="1014.42"/>
    <n v="4.97293470896846E-2"/>
    <n v="2245.52"/>
    <n v="0.11008087722721216"/>
    <n v="3808.57"/>
    <n v="0.18670540746964776"/>
    <n v="5000.2"/>
    <n v="0.24512202176400399"/>
    <n v="12.506211495407857"/>
    <n v="5.7377513686901018"/>
    <n v="120.80633019674936"/>
    <n v="0"/>
  </r>
  <r>
    <x v="14"/>
    <x v="1"/>
    <x v="17"/>
    <n v="341172.02029729798"/>
    <n v="13535"/>
    <n v="327637.02029729798"/>
    <n v="272484.28927200497"/>
    <n v="178360.56919186699"/>
    <n v="94123.720080137296"/>
    <n v="20409.2000439763"/>
    <n v="252075.08922802797"/>
    <n v="130209.350456122"/>
    <n v="7871.6899934448302"/>
    <n v="1549"/>
    <n v="220.25307959799741"/>
    <n v="131.11102637038806"/>
    <n v="175.9098058566845"/>
    <n v="0.79867126569922386"/>
    <n v="1.4915789060338664"/>
    <n v="346682.15"/>
    <n v="243877.9"/>
    <n v="7208.97"/>
    <n v="2.9559751006548771E-2"/>
    <n v="6792.93"/>
    <n v="2.7853815372364615E-2"/>
    <n v="2995.85"/>
    <n v="1.2284220915466305E-2"/>
    <n v="3429.21"/>
    <n v="1.4061175694886663E-2"/>
    <n v="102804.25"/>
    <n v="8130.19"/>
    <n v="7.9084181831004061E-2"/>
    <n v="8053.05"/>
    <n v="7.8333823747559081E-2"/>
    <n v="6827.35"/>
    <n v="6.6411164908065576E-2"/>
    <n v="31823.7"/>
    <n v="0.3095562683449371"/>
    <n v="28.740951597612117"/>
    <n v="21.177405028178011"/>
    <n v="188.16291280784159"/>
    <n v="0.10049289268916935"/>
  </r>
  <r>
    <x v="14"/>
    <x v="1"/>
    <x v="57"/>
    <n v="105947.810039043"/>
    <n v="5363"/>
    <n v="100584.810039043"/>
    <n v="64472.439780950503"/>
    <n v="40134.609793424599"/>
    <n v="24337.8299875259"/>
    <n v="1341.7899904251101"/>
    <n v="63130.649790525393"/>
    <n v="28825.450044632002"/>
    <n v="0"/>
    <n v="440"/>
    <n v="240.79047736146137"/>
    <n v="175.27809089638865"/>
    <n v="146.52827222943296"/>
    <n v="0.60853017874736304"/>
    <n v="0.85077797353014617"/>
    <n v="75539.17"/>
    <n v="69601.91"/>
    <n v="0"/>
    <n v="0"/>
    <n v="0"/>
    <n v="0"/>
    <n v="0"/>
    <n v="0"/>
    <n v="0"/>
    <n v="0"/>
    <n v="5937.26"/>
    <n v="0"/>
    <n v="0"/>
    <n v="0"/>
    <n v="0"/>
    <n v="0"/>
    <n v="0"/>
    <n v="0"/>
    <n v="0"/>
    <n v="35.557947798860312"/>
    <n v="34.57035916819482"/>
    <n v="53.462071035517759"/>
    <n v="1.7398196716520976E-2"/>
  </r>
  <r>
    <x v="14"/>
    <x v="1"/>
    <x v="53"/>
    <n v="159563.890179157"/>
    <n v="2019"/>
    <n v="157544.890179157"/>
    <n v="116875.749524215"/>
    <n v="88832.499549010798"/>
    <n v="28043.249975204501"/>
    <n v="6604.7800236940402"/>
    <n v="110270.96950052126"/>
    <n v="61420.899961581497"/>
    <n v="2892.0600167661901"/>
    <n v="676"/>
    <n v="236.04125766147484"/>
    <n v="140.90374290060549"/>
    <n v="172.89312059795162"/>
    <n v="0.73246991780526394"/>
    <n v="1.3184526264332652"/>
    <n v="137674.08000000002"/>
    <n v="107421.93000000001"/>
    <n v="2467.38"/>
    <n v="2.2969052967117608E-2"/>
    <n v="881.88"/>
    <n v="8.2094968876466837E-3"/>
    <n v="236.33"/>
    <n v="2.2000163281370947E-3"/>
    <n v="4037.32"/>
    <n v="3.758375966620596E-2"/>
    <n v="30252.149999999998"/>
    <n v="2821.88"/>
    <n v="9.3278659533289385E-2"/>
    <n v="1906.3"/>
    <n v="6.3013703158287929E-2"/>
    <n v="1534.19"/>
    <n v="5.0713420368469687E-2"/>
    <n v="9314.7999999999993"/>
    <n v="0.3079053885426325"/>
    <n v="27.186631346313742"/>
    <n v="31.237632991303443"/>
    <n v="271.53620225391438"/>
    <n v="6.9340845383554298E-2"/>
  </r>
  <r>
    <x v="14"/>
    <x v="1"/>
    <x v="54"/>
    <n v="161915.45014643701"/>
    <n v="1946"/>
    <n v="159969.45014643701"/>
    <n v="127387.819392964"/>
    <n v="94315.149359032497"/>
    <n v="33072.670033931703"/>
    <n v="7290.9900341033899"/>
    <n v="120096.82935886081"/>
    <n v="68811.8501648456"/>
    <n v="2101.1500052809702"/>
    <n v="690"/>
    <n v="234.66007267599568"/>
    <n v="131.88760866131949"/>
    <n v="184.62002810574521"/>
    <n v="0.78675518165656289"/>
    <n v="1.5217488678480886"/>
    <n v="156892.62000000002"/>
    <n v="119445.36000000002"/>
    <n v="2925.35"/>
    <n v="2.4491114598340191E-2"/>
    <n v="2291.48"/>
    <n v="1.9184336670758913E-2"/>
    <n v="1794.58"/>
    <n v="1.5024275534855433E-2"/>
    <n v="5785.69"/>
    <n v="4.8437963601097596E-2"/>
    <n v="37447.26"/>
    <n v="3420.04"/>
    <n v="9.1329512493036863E-2"/>
    <n v="2349.46"/>
    <n v="6.2740504912775996E-2"/>
    <n v="1305.74"/>
    <n v="3.4868772775364605E-2"/>
    <n v="12595.57"/>
    <n v="0.33635491622083963"/>
    <n v="29.2463645550739"/>
    <n v="22.776344786254711"/>
    <n v="311.42611347255593"/>
    <n v="8.0118612586818974E-2"/>
  </r>
  <r>
    <x v="14"/>
    <x v="2"/>
    <x v="19"/>
    <n v="120360.500003815"/>
    <n v="9141.0200042724591"/>
    <n v="111219.479999542"/>
    <n v="84930.420600175901"/>
    <n v="45911.450343370401"/>
    <n v="39018.970256805398"/>
    <n v="4065.3000454902599"/>
    <n v="80865.120554685534"/>
    <n v="49215.449530839898"/>
    <n v="1810.44000703096"/>
    <n v="851"/>
    <n v="141.43419506911218"/>
    <n v="81.474277868323867"/>
    <n v="99.800729259901061"/>
    <n v="0.70563366384722714"/>
    <n v="1.3012305485237863"/>
    <n v="105091.90999999999"/>
    <n v="79407.299999999988"/>
    <n v="5149.9399999999996"/>
    <n v="6.4854742574045457E-2"/>
    <n v="3466.04"/>
    <n v="4.3648883666866908E-2"/>
    <n v="251.19"/>
    <n v="3.1633111817175505E-3"/>
    <n v="3020.29"/>
    <n v="3.8035419917312394E-2"/>
    <n v="25684.61"/>
    <n v="1275.0899999999999"/>
    <n v="4.9644125412065823E-2"/>
    <n v="2007.59"/>
    <n v="7.8163149060857834E-2"/>
    <n v="1644.66"/>
    <n v="6.4032897521122567E-2"/>
    <n v="8425.15"/>
    <n v="0.32802327931006153"/>
    <n v="25.709110994384936"/>
    <n v="20.87311765637002"/>
    <n v="90.615957949576156"/>
    <n v="5.8633055239952048E-2"/>
  </r>
  <r>
    <x v="14"/>
    <x v="2"/>
    <x v="21"/>
    <n v="207840.190002441"/>
    <n v="13494"/>
    <n v="194346.190002441"/>
    <n v="132900.120995045"/>
    <n v="65203.3805832863"/>
    <n v="67696.740411758394"/>
    <n v="8601.6400541067105"/>
    <n v="124298.480940938"/>
    <n v="78405.549182891802"/>
    <n v="3448.69001480937"/>
    <n v="1009"/>
    <n v="205.9863131837869"/>
    <n v="124.86219108497505"/>
    <n v="131.71468879588178"/>
    <n v="0.63943417773763511"/>
    <n v="1.1321795915075294"/>
    <n v="139792.99"/>
    <n v="105667.51999999999"/>
    <n v="3385.5"/>
    <n v="3.2039173437589906E-2"/>
    <n v="2897.37"/>
    <n v="2.7419683929366376E-2"/>
    <n v="1888.79"/>
    <n v="1.7874839875110158E-2"/>
    <n v="9242.68"/>
    <n v="8.7469451350802987E-2"/>
    <n v="34125.47"/>
    <n v="3262.38"/>
    <n v="9.5599562438260927E-2"/>
    <n v="3355.17"/>
    <n v="9.8318645867734561E-2"/>
    <n v="3761.49"/>
    <n v="0.11022529506553315"/>
    <n v="8543.58"/>
    <n v="0.25035787052896269"/>
    <n v="20.584728032688904"/>
    <n v="16.726949390093335"/>
    <n v="72.009854399662387"/>
    <n v="6.8274597279803201E-2"/>
  </r>
  <r>
    <x v="14"/>
    <x v="2"/>
    <x v="23"/>
    <n v="142673"/>
    <n v="4822"/>
    <n v="137851"/>
    <n v="89462.480720281601"/>
    <n v="45659.620455980301"/>
    <n v="43802.8602643013"/>
    <n v="6483.3100709915198"/>
    <n v="82979.170649290085"/>
    <n v="58805.269449234002"/>
    <n v="2753.39000087976"/>
    <n v="666"/>
    <n v="214.22372372372374"/>
    <n v="121.7933041289583"/>
    <n v="134.32804912955194"/>
    <n v="0.62704562685498733"/>
    <n v="1.198730342408727"/>
    <n v="116675.16"/>
    <n v="82364.78"/>
    <n v="2242.6"/>
    <n v="2.7227657258357272E-2"/>
    <n v="2087.54"/>
    <n v="2.5345056467096738E-2"/>
    <n v="3129.58"/>
    <n v="3.7996580577280725E-2"/>
    <n v="6582.06"/>
    <n v="7.991352614551997E-2"/>
    <n v="34310.379999999997"/>
    <n v="2689.84"/>
    <n v="7.8397266366621421E-2"/>
    <n v="1806.48"/>
    <n v="5.2651121905382577E-2"/>
    <n v="2294.21"/>
    <n v="6.6866353564140071E-2"/>
    <n v="6624.22"/>
    <n v="0.19306752067450145"/>
    <n v="23.305748067928171"/>
    <n v="17.186882683141086"/>
    <n v="160.34552913075086"/>
    <n v="7.9928037718610456E-2"/>
  </r>
  <r>
    <x v="14"/>
    <x v="2"/>
    <x v="24"/>
    <n v="102700.5"/>
    <n v="5428"/>
    <n v="97272.5"/>
    <n v="61462.010545730598"/>
    <n v="29896.690288543701"/>
    <n v="31565.320257186901"/>
    <n v="2812.53002274036"/>
    <n v="58649.480522990249"/>
    <n v="39342.059627533003"/>
    <n v="1872.08999475837"/>
    <n v="492"/>
    <n v="208.74085365853659"/>
    <n v="124.97225686526144"/>
    <n v="124.92278566205408"/>
    <n v="0.59845872752061191"/>
    <n v="1.0475201746519005"/>
    <n v="85617.36"/>
    <n v="60111.51"/>
    <n v="2311.46"/>
    <n v="3.8452868676897317E-2"/>
    <n v="1457"/>
    <n v="2.423828647791413E-2"/>
    <n v="1898"/>
    <n v="3.1574651842883335E-2"/>
    <n v="6366.3"/>
    <n v="0.10590816966667449"/>
    <n v="25505.85"/>
    <n v="1379.57"/>
    <n v="5.4088375803982222E-2"/>
    <n v="1469.9"/>
    <n v="5.7629916274109669E-2"/>
    <n v="1032.03"/>
    <n v="4.0462482136451053E-2"/>
    <n v="10939.03"/>
    <n v="0.42888317778078366"/>
    <n v="24.965209688243736"/>
    <n v="18.782889019693183"/>
    <n v="111.31444573756183"/>
    <n v="4.5742347780655064E-2"/>
  </r>
  <r>
    <x v="14"/>
    <x v="2"/>
    <x v="25"/>
    <n v="103320.29000091599"/>
    <n v="4738"/>
    <n v="98582.290000915498"/>
    <n v="68195.450626382604"/>
    <n v="36520.2703833673"/>
    <n v="31675.1802430153"/>
    <n v="3533.18002986908"/>
    <n v="64662.270596513525"/>
    <n v="42589.339527130098"/>
    <n v="1547.8700029849999"/>
    <n v="504"/>
    <n v="205.00057539864187"/>
    <n v="117.4267469658738"/>
    <n v="135.30843378250518"/>
    <n v="0.66003928778924581"/>
    <n v="1.2254370643262436"/>
    <n v="78377.950000000012"/>
    <n v="56582.960000000006"/>
    <n v="1292"/>
    <n v="2.2833729447876178E-2"/>
    <n v="1801.5"/>
    <n v="3.183820712101311E-2"/>
    <n v="1140.2"/>
    <n v="2.0150942969402803E-2"/>
    <n v="5399.22"/>
    <n v="9.54213070507446E-2"/>
    <n v="21794.989999999998"/>
    <n v="1731.89"/>
    <n v="7.9462757266692954E-2"/>
    <n v="904.68"/>
    <n v="4.1508621935591621E-2"/>
    <n v="992.81"/>
    <n v="4.5552211769769112E-2"/>
    <n v="8833.7199999999993"/>
    <n v="0.40530966061466422"/>
    <n v="22.41121703404897"/>
    <n v="17.159305346249067"/>
    <n v="110.08806263329215"/>
    <n v="5.969915728891878E-2"/>
  </r>
  <r>
    <x v="14"/>
    <x v="2"/>
    <x v="26"/>
    <n v="130649"/>
    <n v="6808"/>
    <n v="123841"/>
    <n v="81898.330652475401"/>
    <n v="41427.150414943702"/>
    <n v="40471.180237531698"/>
    <n v="5005.1800165176401"/>
    <n v="76893.150635957762"/>
    <n v="51942.579468727097"/>
    <n v="1928.6000106111201"/>
    <n v="597"/>
    <n v="218.84254606365158"/>
    <n v="128.60606452372159"/>
    <n v="137.18313342123182"/>
    <n v="0.62685769238551692"/>
    <n v="1.1410800839596615"/>
    <n v="87146.810000000012"/>
    <n v="66498.900000000009"/>
    <n v="2020.33"/>
    <n v="3.0381404805192261E-2"/>
    <n v="752.37"/>
    <n v="1.1314021735697882E-2"/>
    <n v="1385"/>
    <n v="2.0827412182757906E-2"/>
    <n v="3728.39"/>
    <n v="5.6066942460702346E-2"/>
    <n v="20647.91"/>
    <n v="1442.33"/>
    <n v="6.9853559028492468E-2"/>
    <n v="1479.37"/>
    <n v="7.1647445189367831E-2"/>
    <n v="1282.9100000000001"/>
    <n v="6.2132680741053214E-2"/>
    <n v="5214.6899999999996"/>
    <n v="0.25255292182114314"/>
    <n v="19.825342287515475"/>
    <n v="15.968784552078592"/>
    <n v="89.221811983867866"/>
    <n v="6.5190441491767656E-2"/>
  </r>
  <r>
    <x v="14"/>
    <x v="2"/>
    <x v="27"/>
    <n v="140256.5"/>
    <n v="8623"/>
    <n v="131633.5"/>
    <n v="94420.040786445097"/>
    <n v="45038.6804471016"/>
    <n v="49381.360339343497"/>
    <n v="4853.5100293159503"/>
    <n v="89566.530757129149"/>
    <n v="57254.139310479201"/>
    <n v="1453.2700028419499"/>
    <n v="777"/>
    <n v="180.510296010296"/>
    <n v="104.95378466754036"/>
    <n v="121.51871401086885"/>
    <n v="0.67319547248394973"/>
    <n v="1.2311014530063489"/>
    <n v="97857.55"/>
    <n v="70675.75"/>
    <n v="3475.25"/>
    <n v="4.9171745612887022E-2"/>
    <n v="3263.72"/>
    <n v="4.6178781265143985E-2"/>
    <n v="1806"/>
    <n v="2.5553319207790508E-2"/>
    <n v="5185.3999999999996"/>
    <n v="7.3368871218204262E-2"/>
    <n v="27181.800000000003"/>
    <n v="1590.2"/>
    <n v="5.8502380269150681E-2"/>
    <n v="1635.9"/>
    <n v="6.0183652296757387E-2"/>
    <n v="1677.53"/>
    <n v="6.1715191782736968E-2"/>
    <n v="11737.29"/>
    <n v="0.43180694435247113"/>
    <n v="20.256541209157696"/>
    <n v="15.605768239964277"/>
    <n v="89.979476239517439"/>
    <n v="5.9516421194243642E-2"/>
  </r>
  <r>
    <x v="14"/>
    <x v="3"/>
    <x v="28"/>
    <n v="120912.869999427"/>
    <n v="4492"/>
    <n v="116420.869999427"/>
    <n v="78875.989979315505"/>
    <n v="37887.079917479299"/>
    <n v="40988.910061836199"/>
    <n v="5199.5299854278601"/>
    <n v="73676.459993887634"/>
    <n v="49289.410106619798"/>
    <n v="2607.4899868965099"/>
    <n v="524"/>
    <n v="230.74975190730342"/>
    <n v="131.70986623265401"/>
    <n v="150.52669843380818"/>
    <n v="0.65233742263903982"/>
    <n v="1.2359822966871437"/>
    <n v="96929.95"/>
    <n v="73742.92"/>
    <n v="2839.33"/>
    <n v="3.8503086126776644E-2"/>
    <n v="1011.02"/>
    <n v="1.3710061928657015E-2"/>
    <n v="1973.08"/>
    <n v="2.6756195713432556E-2"/>
    <n v="3904.67"/>
    <n v="5.2949761143171445E-2"/>
    <n v="23187.03"/>
    <n v="1537.32"/>
    <n v="6.6300858712823513E-2"/>
    <n v="1719.06"/>
    <n v="7.4138861251311625E-2"/>
    <n v="1668.16"/>
    <n v="7.1943668507782166E-2"/>
    <n v="6634.01"/>
    <n v="0.28610865643422206"/>
    <n v="19.417078468445702"/>
    <n v="15.490962200846079"/>
    <n v="100.11190693211802"/>
    <n v="7.5338070196164258E-2"/>
  </r>
  <r>
    <x v="14"/>
    <x v="3"/>
    <x v="29"/>
    <n v="155728.36000663601"/>
    <n v="7795"/>
    <n v="147933.36000663601"/>
    <n v="97023.260094165802"/>
    <n v="46009.270014285998"/>
    <n v="51013.990079879797"/>
    <n v="5345.0599832534799"/>
    <n v="91678.200110912323"/>
    <n v="63023.069995880098"/>
    <n v="2686.5500082969702"/>
    <n v="650"/>
    <n v="239.58209231790156"/>
    <n v="138.49036923455222"/>
    <n v="149.26655399102432"/>
    <n v="0.62302884387937674"/>
    <n v="1.1458491005960676"/>
    <n v="117060.94"/>
    <n v="86835.290000000008"/>
    <n v="3961.92"/>
    <n v="4.5625689739735999E-2"/>
    <n v="3783.69"/>
    <n v="4.3573183206965738E-2"/>
    <n v="2889.53"/>
    <n v="3.3275987216717998E-2"/>
    <n v="4809.13"/>
    <n v="5.538220693453088E-2"/>
    <n v="30225.65"/>
    <n v="1718.7"/>
    <n v="5.6862300728024041E-2"/>
    <n v="1394.88"/>
    <n v="4.6148883481413966E-2"/>
    <n v="2109.1999999999998"/>
    <n v="6.9781791293156634E-2"/>
    <n v="11430.93"/>
    <n v="0.37818640790189789"/>
    <n v="19.44573869559537"/>
    <n v="15.253205706205145"/>
    <n v="92.445745259294512"/>
    <n v="5.9377191717052191E-2"/>
  </r>
  <r>
    <x v="14"/>
    <x v="3"/>
    <x v="30"/>
    <n v="190534.93000200199"/>
    <n v="7729"/>
    <n v="182805.93000200199"/>
    <n v="123733.080183841"/>
    <n v="66160.320017099395"/>
    <n v="57572.7601667419"/>
    <n v="6709.0900067090997"/>
    <n v="117023.99017713219"/>
    <n v="91504.450048446699"/>
    <n v="3081.09001016617"/>
    <n v="780"/>
    <n v="244.27555128461793"/>
    <n v="123.01203838896041"/>
    <n v="158.6321540818478"/>
    <n v="0.64939840785383129"/>
    <n v="1.3865157364064826"/>
    <n v="151546.88999999998"/>
    <n v="107826.00999999998"/>
    <n v="5395.02"/>
    <n v="5.0034495387522929E-2"/>
    <n v="2653.37"/>
    <n v="2.4607884498369183E-2"/>
    <n v="2910.33"/>
    <n v="2.6990982973403174E-2"/>
    <n v="6258.73"/>
    <n v="5.8044714814171464E-2"/>
    <n v="43720.88"/>
    <n v="4244.3900000000003"/>
    <n v="9.7079244516578816E-2"/>
    <n v="2887.34"/>
    <n v="6.6040299280343856E-2"/>
    <n v="2131.58"/>
    <n v="4.8754279419810399E-2"/>
    <n v="14937.96"/>
    <n v="0.3416664989359775"/>
    <n v="19.214890605101203"/>
    <n v="14.168833503946534"/>
    <n v="157.91312304358294"/>
    <n v="6.9923216923708578E-2"/>
  </r>
  <r>
    <x v="14"/>
    <x v="3"/>
    <x v="31"/>
    <n v="238050.250006713"/>
    <n v="11992"/>
    <n v="226058.250006713"/>
    <n v="155013.06001687"/>
    <n v="80762.179811716094"/>
    <n v="74250.880205154404"/>
    <n v="8602.1500247716904"/>
    <n v="146410.90999209881"/>
    <n v="95645.680339813203"/>
    <n v="6544.3400065898904"/>
    <n v="1371"/>
    <n v="173.63256747389715"/>
    <n v="99.095718205915318"/>
    <n v="113.06568929020459"/>
    <n v="0.6511778921152116"/>
    <n v="1.2180999466660301"/>
    <n v="194328.55"/>
    <n v="130257.51"/>
    <n v="2576.6999999999998"/>
    <n v="1.9781584954295533E-2"/>
    <n v="2560.5100000000002"/>
    <n v="1.9657292696597689E-2"/>
    <n v="1029.55"/>
    <n v="7.9039588581111368E-3"/>
    <n v="3953.61"/>
    <n v="3.0352261455020908E-2"/>
    <n v="64071.039999999994"/>
    <n v="5682.29"/>
    <n v="8.8687338304482027E-2"/>
    <n v="2620.56"/>
    <n v="4.0900850056437357E-2"/>
    <n v="5342.72"/>
    <n v="8.3387439941664768E-2"/>
    <n v="24111.200000000001"/>
    <n v="0.37631978503860719"/>
    <n v="22.142740683261145"/>
    <n v="15.646512663948815"/>
    <n v="142.01540734902963"/>
    <n v="6.3316174617690305E-2"/>
  </r>
  <r>
    <x v="14"/>
    <x v="3"/>
    <x v="32"/>
    <n v="90219.430002689405"/>
    <n v="3139"/>
    <n v="87080.430002689405"/>
    <n v="54998.900153934999"/>
    <n v="28331.320049345501"/>
    <n v="26667.580104589499"/>
    <n v="3224.3399934768699"/>
    <n v="51774.560160458132"/>
    <n v="43567.319965362498"/>
    <n v="40"/>
    <n v="360"/>
    <n v="250.60952778524836"/>
    <n v="129.47808343701919"/>
    <n v="152.77472264981944"/>
    <n v="0.60961258735834956"/>
    <n v="1.2676129724655154"/>
    <n v="75175.12"/>
    <n v="58335.479999999996"/>
    <n v="6274.35"/>
    <n v="0.10755632764142853"/>
    <n v="3508.94"/>
    <n v="6.0151043584453237E-2"/>
    <n v="488.7"/>
    <n v="8.3774059971735895E-3"/>
    <n v="1007.77"/>
    <n v="1.7275421407349355E-2"/>
    <n v="16839.64"/>
    <n v="2148.0700000000002"/>
    <n v="0.12756032789299535"/>
    <n v="694.2"/>
    <n v="4.1224159186300902E-2"/>
    <n v="822.82"/>
    <n v="4.8862089688378144E-2"/>
    <n v="2134.8000000000002"/>
    <n v="0.12677230629633415"/>
    <n v="20.801765783307602"/>
    <n v="16.872245646669359"/>
    <n v="107.67033248081842"/>
    <n v="6.9173868998739244E-2"/>
  </r>
  <r>
    <x v="14"/>
    <x v="3"/>
    <x v="52"/>
    <n v="58723.089999198899"/>
    <n v="5205"/>
    <n v="53518.089999198899"/>
    <n v="31790.930050373099"/>
    <n v="12735.249994278"/>
    <n v="19055.680056095101"/>
    <n v="1014.45999670029"/>
    <n v="30776.470053672809"/>
    <n v="22171.769969463301"/>
    <n v="0"/>
    <n v="234"/>
    <n v="250.95337606495255"/>
    <n v="156.20222234929741"/>
    <n v="135.85867542894488"/>
    <n v="0.54137018421215222"/>
    <n v="0.89459029359431397"/>
    <n v="55295.890000000007"/>
    <n v="47076.540000000008"/>
    <n v="5235.22"/>
    <n v="0.1112065585108846"/>
    <n v="207.48"/>
    <n v="4.4072907652091672E-3"/>
    <n v="0"/>
    <n v="0"/>
    <n v="0"/>
    <n v="0"/>
    <n v="8219.3499999999985"/>
    <n v="1048.3699999999999"/>
    <n v="0.12754901543309385"/>
    <n v="330"/>
    <n v="4.0149160213398878E-2"/>
    <n v="0"/>
    <n v="0"/>
    <n v="0"/>
    <n v="0"/>
    <n v="26.73357073949807"/>
    <n v="24.451735207283715"/>
    <n v="57.428887508733787"/>
    <n v="2.7754401096184666E-2"/>
  </r>
  <r>
    <x v="14"/>
    <x v="3"/>
    <x v="55"/>
    <n v="34761.360000610402"/>
    <n v="720"/>
    <n v="34041.360000610402"/>
    <n v="19595.790045738198"/>
    <n v="10351.640022277799"/>
    <n v="9244.15002346039"/>
    <n v="474.07999801635702"/>
    <n v="19121.710047721834"/>
    <n v="15017.4399681091"/>
    <n v="0"/>
    <n v="134"/>
    <n v="259.41313433291344"/>
    <n v="147.34268680971121"/>
    <n v="146.23723914729993"/>
    <n v="0.56372334239494926"/>
    <n v="1.0169150346173053"/>
    <n v="22699.31"/>
    <n v="20027.740000000002"/>
    <n v="1360.8"/>
    <n v="6.7945759231945291E-2"/>
    <n v="0"/>
    <n v="0"/>
    <n v="0"/>
    <n v="0"/>
    <n v="0"/>
    <n v="0"/>
    <n v="2671.5700000000006"/>
    <n v="291.97000000000003"/>
    <n v="0.10928779706315012"/>
    <n v="0"/>
    <n v="0"/>
    <n v="0"/>
    <n v="0"/>
    <n v="0"/>
    <n v="0"/>
    <n v="19.762447769801682"/>
    <n v="18.335619059164028"/>
    <n v="47.433675281120543"/>
    <n v="2.4011442369901919E-2"/>
  </r>
  <r>
    <x v="14"/>
    <x v="3"/>
    <x v="33"/>
    <n v="131451.25"/>
    <n v="6690"/>
    <n v="124761.25"/>
    <n v="82373.680148050204"/>
    <n v="38968.150041267298"/>
    <n v="43405.530106782899"/>
    <n v="6018.8500032424899"/>
    <n v="76354.830144807696"/>
    <n v="51566.870005443699"/>
    <n v="1993.7000033259401"/>
    <n v="515"/>
    <n v="255.24514563106797"/>
    <n v="151.24403881792304"/>
    <n v="159.9488934913596"/>
    <n v="0.62664813113644935"/>
    <n v="1.1461191423930281"/>
    <n v="95219.310000000012"/>
    <n v="69460.930000000008"/>
    <n v="1502.81"/>
    <n v="2.1635327946228185E-2"/>
    <n v="847.31"/>
    <n v="1.2198368204975083E-2"/>
    <n v="1607.84"/>
    <n v="2.314740099218366E-2"/>
    <n v="3453.35"/>
    <n v="4.9716437715417852E-2"/>
    <n v="25758.38"/>
    <n v="1414.71"/>
    <n v="5.4922320425430479E-2"/>
    <n v="1393.44"/>
    <n v="5.4096569737693133E-2"/>
    <n v="2395.33"/>
    <n v="9.299226115928097E-2"/>
    <n v="7635.86"/>
    <n v="0.29644177933550164"/>
    <n v="19.247577072151156"/>
    <n v="15.015721331544571"/>
    <n v="80.1942092154421"/>
    <n v="7.7273044784307257E-2"/>
  </r>
  <r>
    <x v="14"/>
    <x v="3"/>
    <x v="34"/>
    <n v="111417.680010319"/>
    <n v="3671"/>
    <n v="107746.680010319"/>
    <n v="76132.850049138098"/>
    <n v="43513.669993042902"/>
    <n v="32619.180056095101"/>
    <n v="5823.6800167560596"/>
    <n v="70309.170032381953"/>
    <n v="50128.139966845498"/>
    <n v="953.34000372886703"/>
    <n v="517"/>
    <n v="215.50808512634237"/>
    <n v="116.70444881962213"/>
    <n v="147.25889758053773"/>
    <n v="0.68331031522184749"/>
    <n v="1.3966121914200973"/>
    <n v="85482.19"/>
    <n v="60812.73"/>
    <n v="3000.5"/>
    <n v="4.9339998385206515E-2"/>
    <n v="1535.29"/>
    <n v="2.52461943412177E-2"/>
    <n v="1561.93"/>
    <n v="2.5684260515849232E-2"/>
    <n v="7567.96"/>
    <n v="0.12444697023139727"/>
    <n v="24669.46"/>
    <n v="1744.82"/>
    <n v="7.0727936485030479E-2"/>
    <n v="1849.81"/>
    <n v="7.4983805887927829E-2"/>
    <n v="1497.44"/>
    <n v="6.0700153144819552E-2"/>
    <n v="7830.17"/>
    <n v="0.31740338053609607"/>
    <n v="18.074366882239069"/>
    <n v="13.266451239650905"/>
    <n v="169.523661907307"/>
    <n v="9.6520497030304978E-2"/>
  </r>
  <r>
    <x v="14"/>
    <x v="3"/>
    <x v="50"/>
    <n v="70977.4800014496"/>
    <n v="6792"/>
    <n v="64185.4800014496"/>
    <n v="40547.330067157702"/>
    <n v="17517.840011119799"/>
    <n v="23029.490056037899"/>
    <n v="2591.3100140094798"/>
    <n v="37956.020053148219"/>
    <n v="27320.729995727499"/>
    <n v="0"/>
    <n v="357"/>
    <n v="198.81647059229579"/>
    <n v="122.28781514207873"/>
    <n v="113.57795537018964"/>
    <n v="0.57127035316454722"/>
    <n v="0.98738331003735802"/>
    <n v="62207.399999999994"/>
    <n v="52178.729999999996"/>
    <n v="2074.4899999999998"/>
    <n v="3.9757387732510925E-2"/>
    <n v="4034.5"/>
    <n v="7.7320778025835438E-2"/>
    <n v="336.83"/>
    <n v="6.455312346620932E-3"/>
    <n v="729.88"/>
    <n v="1.3988075217622201E-2"/>
    <n v="10028.669999999998"/>
    <n v="1016.57"/>
    <n v="0.10136638258113989"/>
    <n v="988.97"/>
    <n v="9.8614272879654047E-2"/>
    <n v="225.39"/>
    <n v="2.2474565420938172E-2"/>
    <n v="1013.72"/>
    <n v="0.1010821973402256"/>
    <n v="24.711746039643064"/>
    <n v="22.05927099498421"/>
    <n v="66.007042562527417"/>
    <n v="5.9356457218410347E-2"/>
  </r>
  <r>
    <x v="14"/>
    <x v="3"/>
    <x v="35"/>
    <n v="134808.170002956"/>
    <n v="6944"/>
    <n v="127864.170002956"/>
    <n v="81587.690107822404"/>
    <n v="38585.380006313302"/>
    <n v="43002.310101509102"/>
    <n v="5116.9800151586496"/>
    <n v="76470.71009266375"/>
    <n v="60187.169999122598"/>
    <n v="1015.09999608994"/>
    <n v="606"/>
    <n v="222.45572607748514"/>
    <n v="121.46188120089683"/>
    <n v="134.63315199310628"/>
    <n v="0.60521324565145718"/>
    <n v="1.1912538570714177"/>
    <n v="99749.079999999987"/>
    <n v="71265.669999999984"/>
    <n v="1367"/>
    <n v="1.9181746274187842E-2"/>
    <n v="1588.5"/>
    <n v="2.2289834642682801E-2"/>
    <n v="1252.6500000000001"/>
    <n v="1.7577186883951282E-2"/>
    <n v="4174.68"/>
    <n v="5.8579116705140093E-2"/>
    <n v="28483.410000000003"/>
    <n v="1228.32"/>
    <n v="4.3124050104955826E-2"/>
    <n v="727.72"/>
    <n v="2.554890724109227E-2"/>
    <n v="1483.22"/>
    <n v="5.2073119054214363E-2"/>
    <n v="9527.74"/>
    <n v="0.33450138168147697"/>
    <n v="19.605710938802734"/>
    <n v="15.039920008945463"/>
    <n v="81.539072489583006"/>
    <n v="6.951861215772559E-2"/>
  </r>
  <r>
    <x v="14"/>
    <x v="3"/>
    <x v="59"/>
    <n v="22689.870000610099"/>
    <n v="542"/>
    <n v="22147.870000610099"/>
    <n v="8080.1100120544397"/>
    <n v="2390.51999664307"/>
    <n v="5689.5900154113797"/>
    <n v="20"/>
    <n v="8060.1100120544497"/>
    <n v="2520.8600044250502"/>
    <n v="0"/>
    <n v="90"/>
    <n v="252.10966667344553"/>
    <n v="224.10011106872278"/>
    <n v="89.779000133938325"/>
    <n v="0.3561108993501147"/>
    <n v="0.4010177181699901"/>
    <n v="14039.65"/>
    <n v="13674.49"/>
    <n v="0"/>
    <n v="0"/>
    <n v="0"/>
    <n v="0"/>
    <n v="0"/>
    <n v="0"/>
    <n v="0"/>
    <n v="0"/>
    <n v="365.16"/>
    <n v="0"/>
    <n v="0"/>
    <n v="0"/>
    <n v="0"/>
    <n v="0"/>
    <n v="0"/>
    <n v="0"/>
    <n v="0"/>
    <n v="18.562887314412766"/>
    <n v="18.522535123634889"/>
    <n v="20.21180811808118"/>
    <n v="9.9162031273637035E-4"/>
  </r>
  <r>
    <x v="14"/>
    <x v="3"/>
    <x v="36"/>
    <n v="93233.870003223405"/>
    <n v="4176"/>
    <n v="89057.870003223405"/>
    <n v="60869.280013680502"/>
    <n v="31693.389966845501"/>
    <n v="29175.890046834898"/>
    <n v="4416.2199873924301"/>
    <n v="56453.060026287967"/>
    <n v="43504.51014328"/>
    <n v="0"/>
    <n v="430"/>
    <n v="216.82295349586838"/>
    <n v="115.64967409289164"/>
    <n v="141.55646514809396"/>
    <n v="0.65286660321593371"/>
    <n v="1.3433030724616097"/>
    <n v="75032.2"/>
    <n v="55646.34"/>
    <n v="4863.67"/>
    <n v="8.7403232629495495E-2"/>
    <n v="1835.75"/>
    <n v="3.2989591049474236E-2"/>
    <n v="425.39"/>
    <n v="7.6445279240287866E-3"/>
    <n v="309.77999999999997"/>
    <n v="5.5669429471911355E-3"/>
    <n v="19385.86"/>
    <n v="1601.61"/>
    <n v="8.2617433531450235E-2"/>
    <n v="1571.51"/>
    <n v="8.1064755445463862E-2"/>
    <n v="2105.5500000000002"/>
    <n v="0.10861266923417379"/>
    <n v="4315.3900000000003"/>
    <n v="0.2226050327403582"/>
    <n v="19.981365829446744"/>
    <n v="15.562276536395547"/>
    <n v="108.06611334778569"/>
    <n v="8.880508415612362E-2"/>
  </r>
  <r>
    <x v="14"/>
    <x v="4"/>
    <x v="58"/>
    <n v="60925"/>
    <n v="2035"/>
    <n v="58890"/>
    <n v="33602.540034294099"/>
    <n v="16610.700000762899"/>
    <n v="16991.8400335312"/>
    <n v="987.44999885559105"/>
    <n v="32615.090035438508"/>
    <n v="21446.279975891099"/>
    <n v="60"/>
    <n v="262"/>
    <n v="232.53816793893131"/>
    <n v="150.45312986301107"/>
    <n v="128.25396959654236"/>
    <n v="0.55153943429288632"/>
    <n v="0.87435413953829166"/>
    <n v="32529.159999999996"/>
    <n v="27679.42"/>
    <n v="0"/>
    <n v="0"/>
    <n v="0"/>
    <n v="0"/>
    <n v="0"/>
    <n v="0"/>
    <n v="0"/>
    <n v="0"/>
    <n v="4849.74"/>
    <n v="0"/>
    <n v="0"/>
    <n v="0"/>
    <n v="0"/>
    <n v="0"/>
    <n v="0"/>
    <n v="0"/>
    <n v="0"/>
    <n v="18.756838667307004"/>
    <n v="16.617230171369343"/>
    <n v="70.747483588621435"/>
    <n v="2.5050280634471549E-2"/>
  </r>
  <r>
    <x v="14"/>
    <x v="4"/>
    <x v="37"/>
    <n v="92413.560001373306"/>
    <n v="3839"/>
    <n v="88574.560001373306"/>
    <n v="60589.749983310699"/>
    <n v="30610.969923019398"/>
    <n v="29978.780060291301"/>
    <n v="3523.8399810791002"/>
    <n v="57065.910002231598"/>
    <n v="35958.330043792703"/>
    <n v="2317.1900018453598"/>
    <n v="384"/>
    <n v="240.66031250357631"/>
    <n v="140.98447905139386"/>
    <n v="157.78580724820495"/>
    <n v="0.65563700805823633"/>
    <n v="1.1970899473596259"/>
    <n v="67538.100000000006"/>
    <n v="50580.670000000006"/>
    <n v="2342"/>
    <n v="4.6302273180643908E-2"/>
    <n v="14.75"/>
    <n v="2.9161337720516551E-4"/>
    <n v="775.4"/>
    <n v="1.532996696168714E-2"/>
    <n v="4020.07"/>
    <n v="7.9478385715333541E-2"/>
    <n v="16957.43"/>
    <n v="875.74"/>
    <n v="5.1643438893747458E-2"/>
    <n v="254.09"/>
    <n v="1.4983992267696224E-2"/>
    <n v="2163.4"/>
    <n v="0.12757829458827194"/>
    <n v="7420.86"/>
    <n v="0.43761702097546618"/>
    <n v="20.841388885715091"/>
    <n v="16.495799355434393"/>
    <n v="97.288755020080316"/>
    <n v="6.5089906911300982E-2"/>
  </r>
  <r>
    <x v="14"/>
    <x v="4"/>
    <x v="38"/>
    <n v="224420.42000202101"/>
    <n v="11799.0099999998"/>
    <n v="212621.410002021"/>
    <n v="138232.51014878199"/>
    <n v="69818.359977215499"/>
    <n v="68414.150171566798"/>
    <n v="8394.5099519491196"/>
    <n v="129838.00019683316"/>
    <n v="86349.350145339995"/>
    <n v="3859.9299724381399"/>
    <n v="982"/>
    <n v="228.5340325886159"/>
    <n v="136.67122187804753"/>
    <n v="140.76630361383124"/>
    <n v="0.61595335285237218"/>
    <n v="1.0986823460711843"/>
    <n v="178082.16999999998"/>
    <n v="142131.25999999998"/>
    <n v="5541.48"/>
    <n v="3.8988467420889676E-2"/>
    <n v="8495.1200000000008"/>
    <n v="5.9769539790191138E-2"/>
    <n v="4026.51"/>
    <n v="2.8329517377106209E-2"/>
    <n v="12121.48"/>
    <n v="8.5283701840115966E-2"/>
    <n v="35950.909999999996"/>
    <n v="2715.99"/>
    <n v="7.5547183645699095E-2"/>
    <n v="2107.4899999999998"/>
    <n v="5.8621325579797566E-2"/>
    <n v="2601.6799999999998"/>
    <n v="7.2367570111577156E-2"/>
    <n v="14294.22"/>
    <n v="0.39760384368573704"/>
    <n v="23.779855541522029"/>
    <n v="19.909764740623608"/>
    <n v="102.71359235783298"/>
    <n v="6.2547043108264977E-2"/>
  </r>
  <r>
    <x v="14"/>
    <x v="4"/>
    <x v="40"/>
    <n v="235958.07000806701"/>
    <n v="11015"/>
    <n v="224943.07000806701"/>
    <n v="158792.00001609299"/>
    <n v="87210.639905214295"/>
    <n v="71581.360110878901"/>
    <n v="5979.9400088787097"/>
    <n v="152812.06000721449"/>
    <n v="92557.940151691393"/>
    <n v="3784.7000041790302"/>
    <n v="1092"/>
    <n v="216.07881868870604"/>
    <n v="127.85295774010677"/>
    <n v="145.41391942865678"/>
    <n v="0.6729670233811641"/>
    <n v="1.1882472253610945"/>
    <n v="172235.55000000002"/>
    <n v="129489.62000000001"/>
    <n v="3064.55"/>
    <n v="2.3666375729575855E-2"/>
    <n v="5363.21"/>
    <n v="4.1418068876872133E-2"/>
    <n v="5210.79"/>
    <n v="4.0240986111473642E-2"/>
    <n v="6466.25"/>
    <n v="4.9936435059427922E-2"/>
    <n v="42745.93"/>
    <n v="4107.1099999999997"/>
    <n v="9.6081895984015314E-2"/>
    <n v="2789.18"/>
    <n v="6.5250188731418399E-2"/>
    <n v="3018.86"/>
    <n v="7.0623331858729002E-2"/>
    <n v="14267.21"/>
    <n v="0.33376768267762569"/>
    <n v="21.417004179897173"/>
    <n v="16.862066685354417"/>
    <n v="117.86922699837618"/>
    <n v="4.2831512356545066E-2"/>
  </r>
  <r>
    <x v="14"/>
    <x v="4"/>
    <x v="42"/>
    <n v="265481.790005585"/>
    <n v="9048"/>
    <n v="256433.790005585"/>
    <n v="168479.05007239999"/>
    <n v="102609.2400026"/>
    <n v="65869.810069799394"/>
    <n v="7735.3100371360797"/>
    <n v="160743.7400352633"/>
    <n v="106541.180038437"/>
    <n v="7892.4099932313002"/>
    <n v="1199"/>
    <n v="221.41934112225604"/>
    <n v="125.9784820466361"/>
    <n v="140.51630531476178"/>
    <n v="0.63461622007616814"/>
    <n v="1.1756029073638823"/>
    <n v="245484.30000000002"/>
    <n v="193730.45"/>
    <n v="6909.41"/>
    <n v="3.5665069688322094E-2"/>
    <n v="4549.01"/>
    <n v="2.348113061214693E-2"/>
    <n v="8201.4699999999993"/>
    <n v="4.233443942343601E-2"/>
    <n v="9574.14"/>
    <n v="4.941990275663944E-2"/>
    <n v="51753.850000000006"/>
    <n v="5010.1099999999997"/>
    <n v="9.6806517775972212E-2"/>
    <n v="2745.69"/>
    <n v="5.3052864666106959E-2"/>
    <n v="4970.8599999999997"/>
    <n v="9.6048120091548728E-2"/>
    <n v="20530.36"/>
    <n v="0.39669241998421373"/>
    <n v="26.947589787494618"/>
    <n v="22.100225888924459"/>
    <n v="150.57855688100088"/>
    <n v="5.1210872016163242E-2"/>
  </r>
  <r>
    <x v="14"/>
    <x v="4"/>
    <x v="44"/>
    <n v="201918.02000411801"/>
    <n v="8130"/>
    <n v="193788.02000411801"/>
    <n v="126888.060031235"/>
    <n v="64939.809917300903"/>
    <n v="61948.2501139343"/>
    <n v="6452.7099944353104"/>
    <n v="120435.35003679989"/>
    <n v="70425.960093021393"/>
    <n v="2740.79999101162"/>
    <n v="1031"/>
    <n v="195.84677013008536"/>
    <n v="124.87998052384577"/>
    <n v="123.07280313407877"/>
    <n v="0.62841374944468742"/>
    <n v="1.0375271015754126"/>
    <n v="142919.93"/>
    <n v="110271.2"/>
    <n v="3513.11"/>
    <n v="3.1858817170757191E-2"/>
    <n v="3356.13"/>
    <n v="3.0435236036245185E-2"/>
    <n v="3814.23"/>
    <n v="3.4589539245061265E-2"/>
    <n v="5632.21"/>
    <n v="5.1075983575040444E-2"/>
    <n v="32648.730000000003"/>
    <n v="3081.45"/>
    <n v="9.4381925422520246E-2"/>
    <n v="1839.03"/>
    <n v="5.6327765276015324E-2"/>
    <n v="3337.93"/>
    <n v="0.10223766743760015"/>
    <n v="10353.370000000001"/>
    <n v="0.31711401944271644"/>
    <n v="21.726012331390592"/>
    <n v="17.686002847020827"/>
    <n v="95.090310993171741"/>
    <n v="5.0117645438502598E-2"/>
  </r>
  <r>
    <x v="14"/>
    <x v="4"/>
    <x v="45"/>
    <n v="107032.220003853"/>
    <n v="5466"/>
    <n v="101566.220003853"/>
    <n v="70340.110087037101"/>
    <n v="37787.789995670297"/>
    <n v="32552.320091366801"/>
    <n v="3392.51998543739"/>
    <n v="66947.590101599708"/>
    <n v="41239.320035934397"/>
    <n v="2710.3299922943102"/>
    <n v="550"/>
    <n v="194.60403637064181"/>
    <n v="114.69558177386236"/>
    <n v="127.89110924915836"/>
    <n v="0.65718631347182155"/>
    <n v="1.1784227035929955"/>
    <n v="72167.62000000001"/>
    <n v="54952.080000000009"/>
    <n v="782.83"/>
    <n v="1.4245684603749302E-2"/>
    <n v="1055.1600000000001"/>
    <n v="1.9201456978516555E-2"/>
    <n v="769.92"/>
    <n v="1.4010752641210303E-2"/>
    <n v="3457.44"/>
    <n v="6.2917363637554749E-2"/>
    <n v="17215.54"/>
    <n v="1529.02"/>
    <n v="8.8816267163272247E-2"/>
    <n v="1118.0999999999999"/>
    <n v="6.4947134972240195E-2"/>
    <n v="948.58"/>
    <n v="5.5100217594103933E-2"/>
    <n v="6734.67"/>
    <n v="0.39119713932876921"/>
    <n v="20.932170896204468"/>
    <n v="16.746816844544202"/>
    <n v="103.49332709905819"/>
    <n v="5.3779038912781962E-2"/>
  </r>
  <r>
    <x v="14"/>
    <x v="4"/>
    <x v="47"/>
    <n v="170251.520006904"/>
    <n v="7982"/>
    <n v="162269.520006904"/>
    <n v="113133.380046476"/>
    <n v="61358.849992979303"/>
    <n v="51774.530053496397"/>
    <n v="4061.9800074100499"/>
    <n v="109071.40003906566"/>
    <n v="71993.420008640707"/>
    <n v="4151.6599978208496"/>
    <n v="761"/>
    <n v="223.72078844534033"/>
    <n v="123.66155059190859"/>
    <n v="148.66409992966584"/>
    <n v="0.66450731272113139"/>
    <n v="1.2564168862274252"/>
    <n v="142365.67000000001"/>
    <n v="116186.66"/>
    <n v="8561.76"/>
    <n v="7.3689698972326079E-2"/>
    <n v="6101.39"/>
    <n v="5.2513687888093179E-2"/>
    <n v="3468.33"/>
    <n v="2.9851361593491024E-2"/>
    <n v="8525.4599999999991"/>
    <n v="7.3377270678062337E-2"/>
    <n v="26179.010000000002"/>
    <n v="2694.37"/>
    <n v="0.10292100427021494"/>
    <n v="1325.17"/>
    <n v="5.0619561243912585E-2"/>
    <n v="3323.63"/>
    <n v="0.12695781849657417"/>
    <n v="7826.08"/>
    <n v="0.29894484168805463"/>
    <n v="23.842431517583229"/>
    <n v="20.570423250834331"/>
    <n v="81.083037373528811"/>
    <n v="4.3163677293402584E-2"/>
  </r>
  <r>
    <x v="14"/>
    <x v="4"/>
    <x v="49"/>
    <n v="155479.79000354701"/>
    <n v="8601"/>
    <n v="146878.79000354701"/>
    <n v="101252.360075191"/>
    <n v="56648.839982509598"/>
    <n v="44603.520092681101"/>
    <n v="4792.3699712753296"/>
    <n v="96459.990103915363"/>
    <n v="63825.520050048799"/>
    <n v="6260.0300049036696"/>
    <n v="769"/>
    <n v="202.18438231930691"/>
    <n v="111.04582568087716"/>
    <n v="131.66756836825837"/>
    <n v="0.65122521758539031"/>
    <n v="1.2562036104581988"/>
    <n v="120483.69"/>
    <n v="89624.010000000009"/>
    <n v="2823.74"/>
    <n v="3.150651259634555E-2"/>
    <n v="1572.61"/>
    <n v="1.7546748912484499E-2"/>
    <n v="389.91"/>
    <n v="4.3505083068700002E-3"/>
    <n v="1705.63"/>
    <n v="1.9030949407418837E-2"/>
    <n v="30859.68"/>
    <n v="2627.92"/>
    <n v="8.5157072270354073E-2"/>
    <n v="2170.98"/>
    <n v="7.0350048995971443E-2"/>
    <n v="2807.74"/>
    <n v="9.0984093159747592E-2"/>
    <n v="14668.6"/>
    <n v="0.47533221342541465"/>
    <n v="23.182566957498377"/>
    <n v="18.043524380390739"/>
    <n v="134.13364242248625"/>
    <n v="5.6120529606683442E-2"/>
  </r>
  <r>
    <x v="15"/>
    <x v="0"/>
    <x v="1"/>
    <n v="179858.08000591199"/>
    <n v="10047"/>
    <n v="169811.08000591199"/>
    <n v="101912.940110564"/>
    <n v="49000.050061941103"/>
    <n v="52912.8900486231"/>
    <n v="4645.5600214004498"/>
    <n v="97267.380089163751"/>
    <n v="50527.169920444503"/>
    <n v="3617.2400055825701"/>
    <n v="972"/>
    <n v="185.03917696081481"/>
    <n v="129.33505152251536"/>
    <n v="104.84870381745289"/>
    <n v="0.56662975667934568"/>
    <n v="0.84178187023265694"/>
    <n v="156530.09"/>
    <n v="121944.3"/>
    <n v="1378.71"/>
    <n v="1.1306063506043332E-2"/>
    <n v="4004.36"/>
    <n v="3.2837615206286808E-2"/>
    <n v="843.37"/>
    <n v="6.9160264153388063E-3"/>
    <n v="1869.46"/>
    <n v="1.5330441849270527E-2"/>
    <n v="34585.79"/>
    <n v="5205.6099999999997"/>
    <n v="0.15051297078944847"/>
    <n v="1734.13"/>
    <n v="5.0139956323102641E-2"/>
    <n v="3527.44"/>
    <n v="0.10199102001139775"/>
    <n v="11933.17"/>
    <n v="0.34503100839969247"/>
    <n v="26.006976356300711"/>
    <n v="21.375379015817046"/>
    <n v="110.1887181847145"/>
    <n v="3.6953499316728422E-2"/>
  </r>
  <r>
    <x v="15"/>
    <x v="0"/>
    <x v="3"/>
    <n v="214490.600018842"/>
    <n v="16946"/>
    <n v="197544.600018842"/>
    <n v="129705.04012571499"/>
    <n v="56807.170016156502"/>
    <n v="72897.870109558105"/>
    <n v="6301.8999863863"/>
    <n v="123403.14013932832"/>
    <n v="67860.210058821394"/>
    <n v="3014.8299859762201"/>
    <n v="1019"/>
    <n v="210.49126596549755"/>
    <n v="140.93774285970989"/>
    <n v="127.28659482405752"/>
    <n v="0.6047120018980815"/>
    <n v="0.94458949049477414"/>
    <n v="190831.90999999997"/>
    <n v="150348.96"/>
    <n v="5130.01"/>
    <n v="3.4120688297411571E-2"/>
    <n v="4089.05"/>
    <n v="2.7197062088091601E-2"/>
    <n v="1662.43"/>
    <n v="1.1057143328427414E-2"/>
    <n v="9809.69"/>
    <n v="6.524614470229792E-2"/>
    <n v="40482.949999999997"/>
    <n v="2760.04"/>
    <n v="6.8177837830494081E-2"/>
    <n v="3414.71"/>
    <n v="8.4349337190101029E-2"/>
    <n v="3131.33"/>
    <n v="7.7349353246243174E-2"/>
    <n v="14558.06"/>
    <n v="0.35960966283336565"/>
    <n v="26.348828287052946"/>
    <n v="22.521939755444496"/>
    <n v="71.41698840720322"/>
    <n v="4.3880342683795828E-2"/>
  </r>
  <r>
    <x v="15"/>
    <x v="0"/>
    <x v="56"/>
    <n v="154318.180003891"/>
    <n v="12501"/>
    <n v="141817.180003891"/>
    <n v="87070.010143741994"/>
    <n v="39652.080055698803"/>
    <n v="47417.930088043198"/>
    <n v="2848.2000055313101"/>
    <n v="84221.810138210683"/>
    <n v="53985.9899862409"/>
    <n v="30"/>
    <n v="697"/>
    <n v="221.40341463972885"/>
    <n v="143.90558108701595"/>
    <n v="124.9211049408063"/>
    <n v="0.56422393098173262"/>
    <n v="0.89344736047148487"/>
    <n v="108662.95000000001"/>
    <n v="89495.16"/>
    <n v="-5.76"/>
    <n v="-6.4361022428475461E-5"/>
    <n v="0"/>
    <n v="0"/>
    <n v="0"/>
    <n v="0"/>
    <n v="0"/>
    <n v="0"/>
    <n v="19167.79"/>
    <n v="1992.5"/>
    <n v="0.10395042934005433"/>
    <n v="0"/>
    <n v="0"/>
    <n v="0"/>
    <n v="0"/>
    <n v="0"/>
    <n v="0"/>
    <n v="20.446368907488196"/>
    <n v="18.118703971735297"/>
    <n v="51.092912569600756"/>
    <n v="2.8396189604933994E-2"/>
  </r>
  <r>
    <x v="15"/>
    <x v="0"/>
    <x v="5"/>
    <n v="308305.70000990998"/>
    <n v="20523.009999999798"/>
    <n v="287782.69000991102"/>
    <n v="180975.190180598"/>
    <n v="84816.140069047004"/>
    <n v="96159.050111550794"/>
    <n v="9430.7900378704107"/>
    <n v="171544.40014272739"/>
    <n v="92585.060073813394"/>
    <n v="4272.3099888078896"/>
    <n v="1447"/>
    <n v="213.06544575667644"/>
    <n v="146.12876983226641"/>
    <n v="125.06923993130462"/>
    <n v="0.58699917054657169"/>
    <n v="0.8958389962660851"/>
    <n v="300124.18"/>
    <n v="238179.29"/>
    <n v="11517.06"/>
    <n v="4.8354581962184867E-2"/>
    <n v="5513.34"/>
    <n v="2.3147856390032903E-2"/>
    <n v="6611.35"/>
    <n v="2.7757870971905241E-2"/>
    <n v="12186.54"/>
    <n v="5.1165405690813841E-2"/>
    <n v="61944.89"/>
    <n v="7467.03"/>
    <n v="0.12054311501723548"/>
    <n v="6486.27"/>
    <n v="0.10471033203868794"/>
    <n v="4133.6499999999996"/>
    <n v="6.6731089521669978E-2"/>
    <n v="17880.45"/>
    <n v="0.28865092826865946"/>
    <n v="28.245589526268677"/>
    <n v="23.915767874091753"/>
    <n v="92.949851956543114"/>
    <n v="4.460091995156161E-2"/>
  </r>
  <r>
    <x v="15"/>
    <x v="0"/>
    <x v="8"/>
    <n v="228435.02001243501"/>
    <n v="13160"/>
    <n v="215275.02001243501"/>
    <n v="137609.510162052"/>
    <n v="76515.180073976502"/>
    <n v="61094.330088075301"/>
    <n v="7726.0600123405502"/>
    <n v="129883.45014971125"/>
    <n v="79100.820003032699"/>
    <n v="2684.6199964284901"/>
    <n v="1121"/>
    <n v="203.77789474793488"/>
    <n v="130.82032115341107"/>
    <n v="122.75603047462248"/>
    <n v="0.60240111238005856"/>
    <n v="0.99054148758557603"/>
    <n v="235333.81"/>
    <n v="188229.19"/>
    <n v="6418.33"/>
    <n v="3.4098483874897403E-2"/>
    <n v="4095.45"/>
    <n v="2.1757783689129194E-2"/>
    <n v="2692.69"/>
    <n v="1.4305379521635301E-2"/>
    <n v="7494.59"/>
    <n v="3.9816300542971042E-2"/>
    <n v="47104.62"/>
    <n v="5561.89"/>
    <n v="0.11807525461409094"/>
    <n v="3740.88"/>
    <n v="7.9416413931372332E-2"/>
    <n v="2783.15"/>
    <n v="5.9084438002047358E-2"/>
    <n v="17646.68"/>
    <n v="0.37462737200724683"/>
    <n v="28.56673225584689"/>
    <n v="24.133137934098023"/>
    <n v="107.44122357950226"/>
    <n v="5.2683819562640691E-2"/>
  </r>
  <r>
    <x v="15"/>
    <x v="0"/>
    <x v="10"/>
    <n v="197617.35000686499"/>
    <n v="12787"/>
    <n v="184830.35000686499"/>
    <n v="118637.040094443"/>
    <n v="63035.400053091304"/>
    <n v="55601.640041351297"/>
    <n v="4981.6800282001504"/>
    <n v="113655.36006624246"/>
    <n v="70830.180001735702"/>
    <n v="7692.7399858832396"/>
    <n v="1070"/>
    <n v="184.68911215594858"/>
    <n v="111.3032056254636"/>
    <n v="110.87573840602113"/>
    <n v="0.60033716720885744"/>
    <n v="1.0396475424854077"/>
    <n v="243436.61"/>
    <n v="188563.02"/>
    <n v="8965.57"/>
    <n v="4.7546809549401575E-2"/>
    <n v="8470.99"/>
    <n v="4.4923919865093379E-2"/>
    <n v="7441.59"/>
    <n v="3.9464737041228978E-2"/>
    <n v="11132.09"/>
    <n v="5.9036443094727699E-2"/>
    <n v="54873.59"/>
    <n v="5390.97"/>
    <n v="9.8243435503308621E-2"/>
    <n v="2453.0100000000002"/>
    <n v="4.4702925396351879E-2"/>
    <n v="2883.06"/>
    <n v="5.2540028818963733E-2"/>
    <n v="25986.959999999999"/>
    <n v="0.47357863773811776"/>
    <n v="33.647261016306935"/>
    <n v="27.469770123161386"/>
    <n v="148.07577056848166"/>
    <n v="4.182966430415843E-2"/>
  </r>
  <r>
    <x v="15"/>
    <x v="0"/>
    <x v="12"/>
    <n v="232514.200003618"/>
    <n v="21644.5"/>
    <n v="210869.700003618"/>
    <n v="138367.29013812399"/>
    <n v="73361.560059696407"/>
    <n v="65005.730078427099"/>
    <n v="5872.8000156879398"/>
    <n v="132494.49012243556"/>
    <n v="78603.8598894272"/>
    <n v="8162.34001913667"/>
    <n v="1180"/>
    <n v="197.04593220645592"/>
    <n v="123.51525431784248"/>
    <n v="117.2604153712911"/>
    <n v="0.59509178422638476"/>
    <n v="0.9892196047591918"/>
    <n v="266153.61000000004"/>
    <n v="207486.63000000006"/>
    <n v="6860.73"/>
    <n v="3.3065889594910275E-2"/>
    <n v="8286.01"/>
    <n v="3.9935151484218515E-2"/>
    <n v="3249.67"/>
    <n v="1.5662069406592604E-2"/>
    <n v="9388.91"/>
    <n v="4.525067470612442E-2"/>
    <n v="58666.979999999996"/>
    <n v="7135.77"/>
    <n v="0.12163179355746624"/>
    <n v="4472.2299999999996"/>
    <n v="7.6230786040120013E-2"/>
    <n v="3746.91"/>
    <n v="6.3867442980702266E-2"/>
    <n v="22627.86"/>
    <n v="0.38570009910174347"/>
    <n v="31.910936609201197"/>
    <n v="27.241798686883662"/>
    <n v="81.028009760139952"/>
    <n v="4.0294206519868606E-2"/>
  </r>
  <r>
    <x v="15"/>
    <x v="0"/>
    <x v="13"/>
    <n v="170391.370008506"/>
    <n v="9129"/>
    <n v="161262.370008506"/>
    <n v="98951.240203440204"/>
    <n v="50927.740133762403"/>
    <n v="48023.500069677801"/>
    <n v="5263.8600192069998"/>
    <n v="93687.380184233203"/>
    <n v="61789.029781341596"/>
    <n v="6474.3200016021701"/>
    <n v="806"/>
    <n v="211.40368487407693"/>
    <n v="126.7097025131045"/>
    <n v="122.76828809359827"/>
    <n v="0.5807291777658723"/>
    <n v="1.0215464625165671"/>
    <n v="187373.77000000002"/>
    <n v="131176.79"/>
    <n v="3282.32"/>
    <n v="2.5022109475311905E-2"/>
    <n v="4869.4799999999996"/>
    <n v="3.7121506022521206E-2"/>
    <n v="3854"/>
    <n v="2.9380197518173754E-2"/>
    <n v="9664.9699999999993"/>
    <n v="7.3678964091132268E-2"/>
    <n v="56196.979999999996"/>
    <n v="5978.57"/>
    <n v="0.10638596593624783"/>
    <n v="5355.45"/>
    <n v="9.5297825612693066E-2"/>
    <n v="4321.8100000000004"/>
    <n v="7.6904666407340769E-2"/>
    <n v="22506.63"/>
    <n v="0.40049536469753361"/>
    <n v="27.675985300190472"/>
    <n v="20.407801452684652"/>
    <n v="164.08409680768233"/>
    <n v="5.1541780674697509E-2"/>
  </r>
  <r>
    <x v="15"/>
    <x v="0"/>
    <x v="14"/>
    <n v="0"/>
    <n v="0"/>
    <n v="0"/>
    <n v="62.950000047682998"/>
    <n v="60"/>
    <n v="2.9500000476829999"/>
    <n v="0"/>
    <n v="62.950000047682998"/>
    <n v="25"/>
    <n v="-2.9500000476829999"/>
    <n v="0"/>
    <s v="$0.00"/>
    <s v="$0.00"/>
    <s v="$0.00"/>
    <s v="0.00%"/>
    <n v="0"/>
    <n v="-176.53"/>
    <n v="-108"/>
    <n v="0"/>
    <n v="0"/>
    <n v="0"/>
    <n v="0"/>
    <n v="0"/>
    <n v="0"/>
    <n v="-108"/>
    <n v="1"/>
    <n v="-68.53"/>
    <n v="0"/>
    <n v="0"/>
    <n v="0"/>
    <n v="0"/>
    <n v="0"/>
    <n v="0"/>
    <n v="-68.53"/>
    <n v="1"/>
    <n v="0"/>
    <n v="0"/>
    <n v="0"/>
    <n v="0"/>
  </r>
  <r>
    <x v="15"/>
    <x v="0"/>
    <x v="16"/>
    <n v="0"/>
    <n v="0"/>
    <n v="0"/>
    <n v="8386.7599520683307"/>
    <n v="2323.6099758148198"/>
    <n v="6063.1499762535104"/>
    <n v="2005.6499938964801"/>
    <n v="6381.1099581718508"/>
    <n v="1907.4100151062"/>
    <n v="3171.72999572754"/>
    <n v="0"/>
    <s v="$0.00"/>
    <n v="0"/>
    <s v="$0.00"/>
    <s v="0.00%"/>
    <n v="0"/>
    <n v="22907.870000000003"/>
    <n v="10797.51"/>
    <n v="3287.67"/>
    <n v="0.30448408938727539"/>
    <n v="1068.95"/>
    <n v="9.8999676777331069E-2"/>
    <n v="570.6"/>
    <n v="5.2845517160900989E-2"/>
    <n v="4049.51"/>
    <n v="0.37504109743820568"/>
    <n v="12110.36"/>
    <n v="2904.36"/>
    <n v="0.23982441479856917"/>
    <n v="574.87"/>
    <n v="4.7469274241228168E-2"/>
    <n v="1661.44"/>
    <n v="0.13719162766424781"/>
    <n v="4409.88"/>
    <n v="0.36414111554074363"/>
    <n v="18.827258385300247"/>
    <n v="9.4249667528690271"/>
    <n v="170.30193750000001"/>
    <n v="0"/>
  </r>
  <r>
    <x v="15"/>
    <x v="1"/>
    <x v="17"/>
    <n v="360534.51035819802"/>
    <n v="15411.360000610401"/>
    <n v="345123.15035758697"/>
    <n v="239911.689472033"/>
    <n v="139992.02944804501"/>
    <n v="99919.660023987293"/>
    <n v="18495.989995956399"/>
    <n v="221415.69947607591"/>
    <n v="101422.630267179"/>
    <n v="8082.2400186248096"/>
    <n v="1768"/>
    <n v="203.92223436549625"/>
    <n v="141.98509053868415"/>
    <n v="135.69665694119473"/>
    <n v="0.6654333568059152"/>
    <n v="1.0317289106035614"/>
    <n v="378814.5"/>
    <n v="276714.62"/>
    <n v="11236.41"/>
    <n v="4.0606491988027231E-2"/>
    <n v="6192.09"/>
    <n v="2.2377169663099116E-2"/>
    <n v="6477.67"/>
    <n v="2.3409207652273667E-2"/>
    <n v="4233.2"/>
    <n v="1.5298071348741891E-2"/>
    <n v="102099.88"/>
    <n v="12191.2"/>
    <n v="0.11940464572534268"/>
    <n v="5547.62"/>
    <n v="5.4335225467454021E-2"/>
    <n v="7873.06"/>
    <n v="7.7111354097575829E-2"/>
    <n v="33240.06"/>
    <n v="0.32556414366011005"/>
    <n v="32.211973362922024"/>
    <n v="24.548161960571061"/>
    <n v="209.3337397422525"/>
    <n v="7.3680502392555539E-2"/>
  </r>
  <r>
    <x v="15"/>
    <x v="1"/>
    <x v="57"/>
    <n v="112890.300037384"/>
    <n v="4627"/>
    <n v="108263.300037384"/>
    <n v="68004.609865574195"/>
    <n v="42630.559889523298"/>
    <n v="25374.049976050901"/>
    <n v="3326.43997716904"/>
    <n v="64678.169888405158"/>
    <n v="30700.9600375015"/>
    <n v="82.349998474120994"/>
    <n v="508"/>
    <n v="222.22500007359056"/>
    <n v="161.62793307363856"/>
    <n v="133.86734225506731"/>
    <n v="0.60239551000444003"/>
    <n v="0.86321572830667481"/>
    <n v="94582.720000000001"/>
    <n v="82895.759999999995"/>
    <n v="0"/>
    <n v="0"/>
    <n v="0"/>
    <n v="0"/>
    <n v="0"/>
    <n v="0"/>
    <n v="0"/>
    <n v="0"/>
    <n v="11686.960000000001"/>
    <n v="133.26"/>
    <n v="1.1402451963555962E-2"/>
    <n v="0"/>
    <n v="0"/>
    <n v="0"/>
    <n v="0"/>
    <n v="0"/>
    <n v="0"/>
    <n v="28.167134077302499"/>
    <n v="25.939604801206983"/>
    <n v="72.057710488456536"/>
    <n v="4.0513480972959572E-2"/>
  </r>
  <r>
    <x v="15"/>
    <x v="1"/>
    <x v="53"/>
    <n v="161381.05014850601"/>
    <n v="4035"/>
    <n v="157346.05014850601"/>
    <n v="104198.739599705"/>
    <n v="69704.349608182907"/>
    <n v="34494.389991521799"/>
    <n v="5650.5899901390103"/>
    <n v="98548.149609565706"/>
    <n v="52170.270030021697"/>
    <n v="1619.0899991393101"/>
    <n v="768"/>
    <n v="210.13157571420052"/>
    <n v="140.09334650956382"/>
    <n v="135.67544218711552"/>
    <n v="0.64566898966030395"/>
    <n v="1.022146508794169"/>
    <n v="148270.54999999999"/>
    <n v="117286.98"/>
    <n v="1526.43"/>
    <n v="1.3014488053149635E-2"/>
    <n v="2368.56"/>
    <n v="2.0194568911229532E-2"/>
    <n v="997.99"/>
    <n v="8.5089581128271873E-3"/>
    <n v="3793.07"/>
    <n v="3.2340077304403268E-2"/>
    <n v="30983.57"/>
    <n v="2688.52"/>
    <n v="8.6772441006636739E-2"/>
    <n v="2318.31"/>
    <n v="7.4823850188987254E-2"/>
    <n v="1861.63"/>
    <n v="6.0084425390618319E-2"/>
    <n v="8884.56"/>
    <n v="0.28675068754181648"/>
    <n v="28.939714467304011"/>
    <n v="23.398663250269998"/>
    <n v="279.43895179877745"/>
    <n v="5.2518832856618854E-2"/>
  </r>
  <r>
    <x v="15"/>
    <x v="1"/>
    <x v="54"/>
    <n v="175598.570198784"/>
    <n v="5526"/>
    <n v="170072.570198784"/>
    <n v="111272.29961813999"/>
    <n v="72248.5796047412"/>
    <n v="39023.720013398699"/>
    <n v="6907.0200178623199"/>
    <n v="104365.27960027757"/>
    <n v="50566.620132688397"/>
    <n v="2187.5900001525902"/>
    <n v="764"/>
    <n v="229.84106046961256"/>
    <n v="160.79104720673169"/>
    <n v="145.6443712279318"/>
    <n v="0.63367429183606439"/>
    <n v="0.95976239899926852"/>
    <n v="172313.94"/>
    <n v="132622.51999999999"/>
    <n v="4252.96"/>
    <n v="3.2068158560099751E-2"/>
    <n v="1867.01"/>
    <n v="1.4077624222492532E-2"/>
    <n v="1746.7"/>
    <n v="1.3170463055595688E-2"/>
    <n v="7149.09"/>
    <n v="5.3905550882308681E-2"/>
    <n v="39691.42"/>
    <n v="2982.79"/>
    <n v="7.5149490746362818E-2"/>
    <n v="2779.16"/>
    <n v="7.0019162831664872E-2"/>
    <n v="2677.53"/>
    <n v="6.7458659831268322E-2"/>
    <n v="12116.02"/>
    <n v="0.30525539272719399"/>
    <n v="30.877003161293505"/>
    <n v="24.278175988462216"/>
    <n v="336.2729737362327"/>
    <n v="5.6225780444088949E-2"/>
  </r>
  <r>
    <x v="15"/>
    <x v="1"/>
    <x v="60"/>
    <n v="46555.380016803698"/>
    <n v="529"/>
    <n v="46026.380016803698"/>
    <n v="5400.7200012207004"/>
    <n v="0"/>
    <n v="5400.7200012207004"/>
    <n v="0"/>
    <n v="5400.7200012207004"/>
    <n v="155.15000152587899"/>
    <n v="0"/>
    <n v="232"/>
    <n v="200.66974145174007"/>
    <n v="200.00099144516301"/>
    <n v="23.278965522503018"/>
    <n v="0.11600635628516758"/>
    <n v="0.11639425061993119"/>
    <n v="51177.16"/>
    <n v="50758.400000000001"/>
    <n v="0"/>
    <n v="0"/>
    <n v="0"/>
    <n v="0"/>
    <n v="0"/>
    <n v="0"/>
    <n v="0"/>
    <n v="0"/>
    <n v="418.76"/>
    <n v="0"/>
    <n v="0"/>
    <n v="0"/>
    <n v="0"/>
    <n v="0"/>
    <n v="0"/>
    <n v="0"/>
    <n v="0"/>
    <n v="32.978246540911996"/>
    <n v="33.08433119102699"/>
    <n v="23.74820415879017"/>
    <n v="0"/>
  </r>
  <r>
    <x v="15"/>
    <x v="2"/>
    <x v="19"/>
    <n v="118090.5"/>
    <n v="9013"/>
    <n v="109077.5"/>
    <n v="72057.120471358299"/>
    <n v="36603.010296464003"/>
    <n v="35454.110174894297"/>
    <n v="5396.3300375938397"/>
    <n v="66660.790433764458"/>
    <n v="38218.539665222197"/>
    <n v="1330.42000314593"/>
    <n v="863"/>
    <n v="136.8371958285052"/>
    <n v="91.009896096908307"/>
    <n v="83.496083976081465"/>
    <n v="0.61018558200158601"/>
    <n v="0.98512425053799568"/>
    <n v="115692.69"/>
    <n v="88082.85"/>
    <n v="5901.3"/>
    <n v="6.6997150977744252E-2"/>
    <n v="4330.5"/>
    <n v="4.9163940540071074E-2"/>
    <n v="3628.59"/>
    <n v="4.1195192934833508E-2"/>
    <n v="3364.35"/>
    <n v="3.819529000253738E-2"/>
    <n v="27609.839999999997"/>
    <n v="3626.68"/>
    <n v="0.13135461849833249"/>
    <n v="1224.69"/>
    <n v="4.4357011847949872E-2"/>
    <n v="1729.7"/>
    <n v="6.26479544973821E-2"/>
    <n v="9188.7199999999993"/>
    <n v="0.3328059851125541"/>
    <n v="29.212766771152214"/>
    <n v="24.054069840331387"/>
    <n v="92.502093941961419"/>
    <n v="6.8706699853459813E-2"/>
  </r>
  <r>
    <x v="15"/>
    <x v="2"/>
    <x v="20"/>
    <n v="0"/>
    <n v="0"/>
    <n v="0"/>
    <n v="50.589999973773999"/>
    <n v="0.58999997377299995"/>
    <n v="50"/>
    <n v="52.959999084472003"/>
    <n v="0"/>
    <n v="0"/>
    <n v="-50"/>
    <n v="0"/>
    <s v="$0.00"/>
    <s v="$0.00"/>
    <s v="$0.00"/>
    <s v="0.00%"/>
    <n v="0"/>
    <n v="-142.59"/>
    <n v="-162"/>
    <n v="0"/>
    <n v="0"/>
    <n v="0"/>
    <n v="0"/>
    <n v="0"/>
    <n v="0"/>
    <n v="-162"/>
    <n v="1"/>
    <n v="19.41"/>
    <n v="0"/>
    <n v="0"/>
    <n v="0"/>
    <n v="0"/>
    <n v="0"/>
    <n v="0"/>
    <n v="19.41"/>
    <n v="1"/>
    <n v="0"/>
    <n v="0"/>
    <n v="0"/>
    <n v="0"/>
  </r>
  <r>
    <x v="15"/>
    <x v="2"/>
    <x v="21"/>
    <n v="174513"/>
    <n v="10632"/>
    <n v="163881"/>
    <n v="115238.960780451"/>
    <n v="55874.340469667703"/>
    <n v="59364.620310783401"/>
    <n v="10340.400094509099"/>
    <n v="104898.56068594201"/>
    <n v="68695.919248571605"/>
    <n v="2117.82000017166"/>
    <n v="918"/>
    <n v="190.1013071895425"/>
    <n v="112.96215768110756"/>
    <n v="125.53263701574194"/>
    <n v="0.66034599588827825"/>
    <n v="1.2343655435572418"/>
    <n v="133051.75"/>
    <n v="97354.98"/>
    <n v="2964.56"/>
    <n v="3.0451035992200913E-2"/>
    <n v="2853.97"/>
    <n v="2.931508999334189E-2"/>
    <n v="2093.77"/>
    <n v="2.1506552618058162E-2"/>
    <n v="9215.9"/>
    <n v="9.4662851350798896E-2"/>
    <n v="35696.770000000004"/>
    <n v="4773.88"/>
    <n v="0.13373422861508197"/>
    <n v="2972.13"/>
    <n v="8.3260474266999507E-2"/>
    <n v="2546.88"/>
    <n v="7.1347631732506883E-2"/>
    <n v="8827.1200000000008"/>
    <n v="0.24728063631527444"/>
    <n v="20.745550939457935"/>
    <n v="16.163400660807973"/>
    <n v="91.452015371477373"/>
    <n v="9.9715272988421796E-2"/>
  </r>
  <r>
    <x v="15"/>
    <x v="2"/>
    <x v="23"/>
    <n v="136617"/>
    <n v="5855"/>
    <n v="130762"/>
    <n v="84712.780693769499"/>
    <n v="41259.760327577598"/>
    <n v="43453.0203661919"/>
    <n v="5957.2800071239499"/>
    <n v="78755.500686645551"/>
    <n v="51214.119386911399"/>
    <n v="1903.73999667168"/>
    <n v="692"/>
    <n v="197.42341040462426"/>
    <n v="120.6634980006025"/>
    <n v="122.4173131412854"/>
    <n v="0.62007495914688138"/>
    <n v="1.0924780502831668"/>
    <n v="122345.4"/>
    <n v="86021.85"/>
    <n v="5069.2"/>
    <n v="5.8929213914836749E-2"/>
    <n v="1641.39"/>
    <n v="1.9081082306414011E-2"/>
    <n v="860.86"/>
    <n v="1.000745740762376E-2"/>
    <n v="8497.3799999999992"/>
    <n v="9.8781646756027672E-2"/>
    <n v="36323.549999999996"/>
    <n v="1952.76"/>
    <n v="5.3760163860635875E-2"/>
    <n v="1368.4"/>
    <n v="3.7672529254436864E-2"/>
    <n v="1571.94"/>
    <n v="4.3276056442721055E-2"/>
    <n v="8375.83"/>
    <n v="0.23058952112334838"/>
    <n v="25.647143940349643"/>
    <n v="18.769909323772314"/>
    <n v="193.86345845934886"/>
    <n v="7.1345405032260625E-2"/>
  </r>
  <r>
    <x v="15"/>
    <x v="2"/>
    <x v="24"/>
    <n v="97457"/>
    <n v="7949"/>
    <n v="89508"/>
    <n v="64221.630437430002"/>
    <n v="30741.0002522469"/>
    <n v="33480.630185183101"/>
    <n v="3963.5600001811999"/>
    <n v="60258.070437248804"/>
    <n v="35097.019658565499"/>
    <n v="2781.8299914691602"/>
    <n v="513"/>
    <n v="189.97465886939571"/>
    <n v="116.13674532156986"/>
    <n v="125.18836342578948"/>
    <n v="0.65897401353858631"/>
    <n v="1.1547622671229343"/>
    <n v="84389.639999999985"/>
    <n v="61905.109999999993"/>
    <n v="1979"/>
    <n v="3.1968281778354E-2"/>
    <n v="2284.1799999999998"/>
    <n v="3.6898084826923014E-2"/>
    <n v="1482"/>
    <n v="2.393986538429542E-2"/>
    <n v="5877.49"/>
    <n v="9.4943535355966585E-2"/>
    <n v="22484.53"/>
    <n v="2483.64"/>
    <n v="0.11045994735046719"/>
    <n v="1011.53"/>
    <n v="4.4987820514816187E-2"/>
    <n v="1151.5"/>
    <n v="5.1212989553261735E-2"/>
    <n v="8540.77"/>
    <n v="0.37985094640626249"/>
    <n v="25.283349423098681"/>
    <n v="19.788668006876268"/>
    <n v="107.35319363395224"/>
    <n v="6.6527073715767104E-2"/>
  </r>
  <r>
    <x v="15"/>
    <x v="2"/>
    <x v="25"/>
    <n v="104704.5"/>
    <n v="6975"/>
    <n v="97729.5"/>
    <n v="63937.210508584998"/>
    <n v="29361.740357637402"/>
    <n v="34575.4701509476"/>
    <n v="7307.2500042915299"/>
    <n v="56629.960504293478"/>
    <n v="36171.049582243002"/>
    <n v="2169.72000205517"/>
    <n v="532"/>
    <n v="196.81296992481202"/>
    <n v="124.74385416485308"/>
    <n v="120.18272651989663"/>
    <n v="0.61064434201572049"/>
    <n v="1.0826451231630068"/>
    <n v="86090.240000000005"/>
    <n v="64888.840000000004"/>
    <n v="1836"/>
    <n v="2.8294541865750721E-2"/>
    <n v="1292"/>
    <n v="1.9910973905528283E-2"/>
    <n v="2147.5"/>
    <n v="3.3095059181208968E-2"/>
    <n v="4638.6400000000003"/>
    <n v="7.1485944270231985E-2"/>
    <n v="21201.4"/>
    <n v="3123.47"/>
    <n v="0.14732376163838234"/>
    <n v="1379.45"/>
    <n v="6.5064099540596373E-2"/>
    <n v="784.7"/>
    <n v="3.7011706774080957E-2"/>
    <n v="7680.8"/>
    <n v="0.36227796277604307"/>
    <n v="24.579047122532803"/>
    <n v="19.59350097839101"/>
    <n v="111.09903930131006"/>
    <n v="0.11010909059088418"/>
  </r>
  <r>
    <x v="15"/>
    <x v="2"/>
    <x v="26"/>
    <n v="124790.52"/>
    <n v="6161"/>
    <n v="118629.52"/>
    <n v="73867.360574245497"/>
    <n v="34736.380380749702"/>
    <n v="39130.980193495801"/>
    <n v="5726.0400178432501"/>
    <n v="68141.320556402265"/>
    <n v="44870.029480934099"/>
    <n v="1527.9300041198701"/>
    <n v="611"/>
    <n v="204.23980360065468"/>
    <n v="128.30206303591822"/>
    <n v="120.89584382036908"/>
    <n v="0.59193086601646916"/>
    <n v="1.0165253554033953"/>
    <n v="94415.15"/>
    <n v="72447.94"/>
    <n v="2130.5"/>
    <n v="2.9407323382831863E-2"/>
    <n v="1567.33"/>
    <n v="2.1633879445019415E-2"/>
    <n v="692.08"/>
    <n v="9.5527905969445097E-3"/>
    <n v="4826.92"/>
    <n v="6.6626048994629802E-2"/>
    <n v="21967.21"/>
    <n v="1925.94"/>
    <n v="8.7673400491004555E-2"/>
    <n v="1257.8499999999999"/>
    <n v="5.7260343939899511E-2"/>
    <n v="1287.8699999999999"/>
    <n v="5.8626926223220882E-2"/>
    <n v="5569.87"/>
    <n v="0.25355381953375056"/>
    <n v="22.196729422968232"/>
    <n v="17.989530267469334"/>
    <n v="97.056892488954347"/>
    <n v="7.3043155884052857E-2"/>
  </r>
  <r>
    <x v="15"/>
    <x v="2"/>
    <x v="27"/>
    <n v="151354.50999809199"/>
    <n v="12711"/>
    <n v="138643.50999809199"/>
    <n v="85296.380598068194"/>
    <n v="39437.140406250997"/>
    <n v="45859.240191817298"/>
    <n v="7339.1200170517004"/>
    <n v="77957.260581016599"/>
    <n v="44110.719442725203"/>
    <n v="2261.8500096201901"/>
    <n v="813"/>
    <n v="186.16790897674292"/>
    <n v="129.12907816204992"/>
    <n v="104.91559729159692"/>
    <n v="0.56355361065318477"/>
    <n v="0.87355506668308225"/>
    <n v="122115.83"/>
    <n v="90896.95"/>
    <n v="3232.5"/>
    <n v="3.5562249338399146E-2"/>
    <n v="2833.31"/>
    <n v="3.1170572830001447E-2"/>
    <n v="2282.5"/>
    <n v="2.5110853554492205E-2"/>
    <n v="6816.55"/>
    <n v="7.499206519030617E-2"/>
    <n v="31218.880000000005"/>
    <n v="3555.12"/>
    <n v="0.11387724351418115"/>
    <n v="1193.4100000000001"/>
    <n v="3.8227188163060297E-2"/>
    <n v="1355.22"/>
    <n v="4.3410269682961071E-2"/>
    <n v="10705.17"/>
    <n v="0.3429069204276386"/>
    <n v="25.885799375588437"/>
    <n v="20.681559507235669"/>
    <n v="96.829417238170748"/>
    <n v="6.9908404997082604E-2"/>
  </r>
  <r>
    <x v="15"/>
    <x v="2"/>
    <x v="22"/>
    <n v="0"/>
    <n v="0"/>
    <n v="0"/>
    <n v="0.58999997377299995"/>
    <n v="0.58999997377299995"/>
    <n v="0"/>
    <n v="0"/>
    <n v="0.58999997377299995"/>
    <n v="0"/>
    <n v="-9.350000381469"/>
    <n v="0"/>
    <s v="$0.00"/>
    <s v="$0.00"/>
    <s v="$0.00"/>
    <s v="0.00%"/>
    <n v="6.3101598898577124E-2"/>
    <n v="-167.59"/>
    <n v="-167"/>
    <n v="0"/>
    <n v="0"/>
    <n v="0"/>
    <n v="0"/>
    <n v="0"/>
    <n v="0"/>
    <n v="-167"/>
    <n v="1"/>
    <n v="-0.59"/>
    <n v="0"/>
    <n v="0"/>
    <n v="0"/>
    <n v="0"/>
    <n v="0"/>
    <n v="0"/>
    <n v="-0.59"/>
    <n v="1"/>
    <n v="0"/>
    <n v="0"/>
    <n v="0"/>
    <n v="0"/>
  </r>
  <r>
    <x v="15"/>
    <x v="3"/>
    <x v="28"/>
    <n v="113159.399998665"/>
    <n v="4637"/>
    <n v="108522.399998665"/>
    <n v="68366.200032413006"/>
    <n v="30754.270000934601"/>
    <n v="37611.930031478398"/>
    <n v="4407.46001386642"/>
    <n v="63958.740018546589"/>
    <n v="43046.570001125299"/>
    <n v="1287.2399971485099"/>
    <n v="543"/>
    <n v="208.39668508041436"/>
    <n v="126.7506261517333"/>
    <n v="125.90460411125784"/>
    <n v="0.6041583821867168"/>
    <n v="1.0612881815525244"/>
    <n v="98778.32"/>
    <n v="73049.340000000011"/>
    <n v="3399.5"/>
    <n v="4.6537039212127027E-2"/>
    <n v="2963.49"/>
    <n v="4.0568333676936699E-2"/>
    <n v="972"/>
    <n v="1.3306075044620525E-2"/>
    <n v="4243.1899999999996"/>
    <n v="5.8086630214591935E-2"/>
    <n v="25728.980000000003"/>
    <n v="2893.14"/>
    <n v="0.11244674293345479"/>
    <n v="1374.08"/>
    <n v="5.3405925924774313E-2"/>
    <n v="1268.68"/>
    <n v="4.930937798544676E-2"/>
    <n v="8033.4"/>
    <n v="0.31223157699994319"/>
    <n v="22.514822472212906"/>
    <n v="17.348541078597535"/>
    <n v="145.71821785916558"/>
    <n v="6.403809998347082E-2"/>
  </r>
  <r>
    <x v="15"/>
    <x v="3"/>
    <x v="29"/>
    <n v="157604.88000423301"/>
    <n v="5871"/>
    <n v="151733.88000423301"/>
    <n v="90029.060005188003"/>
    <n v="39334.709944963499"/>
    <n v="50694.350060224497"/>
    <n v="6045.52004301548"/>
    <n v="83983.539962172508"/>
    <n v="52279.400031328201"/>
    <n v="2418.5399985313402"/>
    <n v="742"/>
    <n v="212.40549865799596"/>
    <n v="138.68859834821222"/>
    <n v="121.33296496656062"/>
    <n v="0.57123269281236699"/>
    <n v="0.92946252562669607"/>
    <n v="135938.6"/>
    <n v="104425.03000000001"/>
    <n v="4671.49"/>
    <n v="4.4735347454532684E-2"/>
    <n v="3523.92"/>
    <n v="3.3745932368896614E-2"/>
    <n v="3379.8"/>
    <n v="3.2365803486003306E-2"/>
    <n v="6177.02"/>
    <n v="5.9152676326738901E-2"/>
    <n v="31513.57"/>
    <n v="4171.3"/>
    <n v="0.1323652001344183"/>
    <n v="1565.41"/>
    <n v="4.9674156244436926E-2"/>
    <n v="1571.75"/>
    <n v="4.9875339417273255E-2"/>
    <n v="11789.83"/>
    <n v="0.37411914930615603"/>
    <n v="25.257295893683981"/>
    <n v="20.338327132771123"/>
    <n v="127.1962193918737"/>
    <n v="5.8747447397823442E-2"/>
  </r>
  <r>
    <x v="15"/>
    <x v="3"/>
    <x v="30"/>
    <n v="165406.820005188"/>
    <n v="6416"/>
    <n v="158990.820005188"/>
    <n v="94479.970050931006"/>
    <n v="45383.749980211302"/>
    <n v="49096.220070719697"/>
    <n v="6318.3000178337097"/>
    <n v="88161.670033097296"/>
    <n v="54486.419989109003"/>
    <n v="4007.2399961352298"/>
    <n v="767"/>
    <n v="215.65426337051889"/>
    <n v="139.39134292039603"/>
    <n v="123.18118650708084"/>
    <n v="0.57119754825083779"/>
    <n v="0.93921269982332323"/>
    <n v="167630.97"/>
    <n v="123766.55"/>
    <n v="5408.96"/>
    <n v="4.3702922962626005E-2"/>
    <n v="3565.97"/>
    <n v="2.8812065941888173E-2"/>
    <n v="2375.9299999999998"/>
    <n v="1.9196867004857128E-2"/>
    <n v="7794.09"/>
    <n v="6.2974123460660406E-2"/>
    <n v="43864.42"/>
    <n v="5399.89"/>
    <n v="0.1231041012282848"/>
    <n v="4028.64"/>
    <n v="9.1843001685648643E-2"/>
    <n v="3279.06"/>
    <n v="7.475443651141403E-2"/>
    <n v="14127.02"/>
    <n v="0.32206102349010884"/>
    <n v="24.719238933139586"/>
    <n v="18.900474746617771"/>
    <n v="188.20546338672767"/>
    <n v="5.9097495730694741E-2"/>
  </r>
  <r>
    <x v="15"/>
    <x v="3"/>
    <x v="31"/>
    <n v="227118.870009039"/>
    <n v="13569"/>
    <n v="213549.870009039"/>
    <n v="133129.35003091401"/>
    <n v="64114.949934855103"/>
    <n v="69014.400096058802"/>
    <n v="6799.21005856991"/>
    <n v="126330.13997234398"/>
    <n v="66941.750094227493"/>
    <n v="6399.6599965095502"/>
    <n v="1401"/>
    <n v="162.11197002786511"/>
    <n v="109.76264091242111"/>
    <n v="95.024518223350384"/>
    <n v="0.58616595805366389"/>
    <n v="0.90577585566548258"/>
    <n v="216235.58000000002"/>
    <n v="153982.85"/>
    <n v="4317.5600000000004"/>
    <n v="2.8039226446321782E-2"/>
    <n v="2272.9499999999998"/>
    <n v="1.4761059429670251E-2"/>
    <n v="2444.1999999999998"/>
    <n v="1.5873196268285719E-2"/>
    <n v="3533.21"/>
    <n v="2.2945477369720069E-2"/>
    <n v="62252.73"/>
    <n v="8369.42"/>
    <n v="0.13444261801851903"/>
    <n v="4902.54"/>
    <n v="7.875220893927061E-2"/>
    <n v="2696.58"/>
    <n v="4.3316654546716259E-2"/>
    <n v="23442.720000000001"/>
    <n v="0.37657336473436587"/>
    <n v="26.106869527885372"/>
    <n v="19.6853150776288"/>
    <n v="135.18834330663063"/>
    <n v="4.4214607668654149E-2"/>
  </r>
  <r>
    <x v="15"/>
    <x v="3"/>
    <x v="32"/>
    <n v="85545.430004119902"/>
    <n v="3547"/>
    <n v="81998.430004119902"/>
    <n v="47483.490140199698"/>
    <n v="21268.7300629616"/>
    <n v="26214.760077238101"/>
    <n v="2675.8799972534198"/>
    <n v="44807.610142946287"/>
    <n v="30777.5799069405"/>
    <n v="502.30000340938602"/>
    <n v="371"/>
    <n v="230.58067386555228"/>
    <n v="146.2683290937197"/>
    <n v="127.98784404366498"/>
    <n v="0.55506752538286241"/>
    <n v="0.92040693517452543"/>
    <n v="84807.51"/>
    <n v="65500.85"/>
    <n v="1887.32"/>
    <n v="2.8813671883647311E-2"/>
    <n v="5055.1099999999997"/>
    <n v="7.7176250384536987E-2"/>
    <n v="3283.04"/>
    <n v="5.0122097652167873E-2"/>
    <n v="1527"/>
    <n v="2.3312674568345296E-2"/>
    <n v="19306.66"/>
    <n v="3379.07"/>
    <n v="0.17502095131938927"/>
    <n v="2301.4899999999998"/>
    <n v="0.11920705083116395"/>
    <n v="596.87"/>
    <n v="3.091523857570393E-2"/>
    <n v="2602.12"/>
    <n v="0.13477836145661651"/>
    <n v="25.991833864828426"/>
    <n v="20.917678771071504"/>
    <n v="146.83111374007098"/>
    <n v="4.9310842562722418E-2"/>
  </r>
  <r>
    <x v="15"/>
    <x v="3"/>
    <x v="52"/>
    <n v="62316.369999885603"/>
    <n v="2815"/>
    <n v="59501.369999885603"/>
    <n v="30112.5800790787"/>
    <n v="13945.720054626499"/>
    <n v="16166.8600244522"/>
    <n v="1363.1599988937401"/>
    <n v="28749.420080184958"/>
    <n v="20469.159947872198"/>
    <n v="45"/>
    <n v="249"/>
    <n v="250.26654618427952"/>
    <n v="167.8803616546723"/>
    <n v="120.93405654248474"/>
    <n v="0.48322102329025229"/>
    <n v="0.74464113374383456"/>
    <n v="66653.180000000008"/>
    <n v="57133.130000000005"/>
    <n v="6024.04"/>
    <n v="0.10543864829390583"/>
    <n v="4760.22"/>
    <n v="8.3318032812135442E-2"/>
    <n v="90"/>
    <n v="1.5752681500208372E-3"/>
    <n v="0"/>
    <n v="0"/>
    <n v="9520.0499999999993"/>
    <n v="2297.1999999999998"/>
    <n v="0.2413012536698862"/>
    <n v="1038.3699999999999"/>
    <n v="0.10907190613494677"/>
    <n v="210"/>
    <n v="2.2058707674854652E-2"/>
    <n v="0"/>
    <n v="0"/>
    <n v="32.601953622120448"/>
    <n v="29.728482936968192"/>
    <n v="77.637232693004705"/>
    <n v="3.2609759082057994E-2"/>
  </r>
  <r>
    <x v="15"/>
    <x v="3"/>
    <x v="55"/>
    <n v="24045.530001640302"/>
    <n v="1244"/>
    <n v="22801.530001640302"/>
    <n v="14962.9099707603"/>
    <n v="7801.3199615478497"/>
    <n v="7161.5900092124903"/>
    <n v="327.849999189377"/>
    <n v="14635.059971570963"/>
    <n v="11170.2799777985"/>
    <n v="0"/>
    <n v="105"/>
    <n v="229.00504763466955"/>
    <n v="122.62142879849335"/>
    <n v="142.5039044834318"/>
    <n v="0.62227407629358233"/>
    <n v="1.1925107943766882"/>
    <n v="20915.34"/>
    <n v="17671.11"/>
    <n v="1267.67"/>
    <n v="7.1736863162529127E-2"/>
    <n v="1337"/>
    <n v="7.5660216024912977E-2"/>
    <n v="0"/>
    <n v="0"/>
    <n v="0"/>
    <n v="0"/>
    <n v="3244.23"/>
    <n v="741.18"/>
    <n v="0.22846099074356627"/>
    <n v="335.98"/>
    <n v="0.1035623244961054"/>
    <n v="0"/>
    <n v="0"/>
    <n v="0"/>
    <n v="0"/>
    <n v="18.452289449046535"/>
    <n v="16.35870726257302"/>
    <n v="60.918151470895054"/>
    <n v="2.5463583121281476E-2"/>
  </r>
  <r>
    <x v="15"/>
    <x v="3"/>
    <x v="33"/>
    <n v="111146.230002899"/>
    <n v="7459"/>
    <n v="103687.230002899"/>
    <n v="68895.580077886596"/>
    <n v="28589.179986953699"/>
    <n v="40306.400090932802"/>
    <n v="4011.5400204658499"/>
    <n v="64884.040057420643"/>
    <n v="40765.819987773903"/>
    <n v="2030.31999580562"/>
    <n v="488"/>
    <n v="227.75866803872745"/>
    <n v="140.06165987565464"/>
    <n v="141.17946737271822"/>
    <n v="0.61986430017544913"/>
    <n v="1.0708289210607649"/>
    <n v="94302.39"/>
    <n v="67657.279999999999"/>
    <n v="2009.42"/>
    <n v="2.9699982027063459E-2"/>
    <n v="1557.97"/>
    <n v="2.3027381532334731E-2"/>
    <n v="650.42999999999995"/>
    <n v="9.6135996008116197E-3"/>
    <n v="3387.95"/>
    <n v="5.0075172989514208E-2"/>
    <n v="26645.11"/>
    <n v="5109.17"/>
    <n v="0.1917488800008707"/>
    <n v="1431.84"/>
    <n v="5.3737440003062471E-2"/>
    <n v="1575.02"/>
    <n v="5.9111033882014372E-2"/>
    <n v="8530.1200000000008"/>
    <n v="0.32013829179162706"/>
    <n v="22.000843149438108"/>
    <n v="16.739774372274432"/>
    <n v="299.72002249718787"/>
    <n v="5.8691071501617183E-2"/>
  </r>
  <r>
    <x v="15"/>
    <x v="3"/>
    <x v="34"/>
    <n v="92974.100004196196"/>
    <n v="2446"/>
    <n v="90528.100004196196"/>
    <n v="54859.520000934601"/>
    <n v="27473.649960994699"/>
    <n v="27385.870039939899"/>
    <n v="3286.0300053358101"/>
    <n v="51573.489995598793"/>
    <n v="31090.470037460302"/>
    <n v="1200.01999473572"/>
    <n v="477"/>
    <n v="194.91425577399622"/>
    <n v="127.2193081174008"/>
    <n v="115.00947589294465"/>
    <n v="0.59005163802025107"/>
    <n v="0.95578106311792521"/>
    <n v="91279.489999999991"/>
    <n v="66197.33"/>
    <n v="2626.42"/>
    <n v="3.9675618336872498E-2"/>
    <n v="2330.5"/>
    <n v="3.5205347406005651E-2"/>
    <n v="1862.29"/>
    <n v="2.8132403527453446E-2"/>
    <n v="7231.45"/>
    <n v="0.10924081076986035"/>
    <n v="25082.159999999996"/>
    <n v="2906.77"/>
    <n v="0.11588993930347308"/>
    <n v="1368.12"/>
    <n v="5.4545541532308228E-2"/>
    <n v="1874.81"/>
    <n v="7.4746752273328942E-2"/>
    <n v="9162.73"/>
    <n v="0.36530864965377785"/>
    <n v="22.53024680215637"/>
    <n v="16.829174083076747"/>
    <n v="212.68083663086486"/>
    <n v="5.4150206404200513E-2"/>
  </r>
  <r>
    <x v="15"/>
    <x v="3"/>
    <x v="50"/>
    <n v="84376.420007705703"/>
    <n v="4808"/>
    <n v="79568.420007705703"/>
    <n v="44452.040072441101"/>
    <n v="17319.259991645798"/>
    <n v="27132.780080795299"/>
    <n v="1521.2000141143801"/>
    <n v="42930.840058326721"/>
    <n v="24545.290028095202"/>
    <n v="0"/>
    <n v="435"/>
    <n v="193.96878162690967"/>
    <n v="137.5428275393345"/>
    <n v="102.1885978676807"/>
    <n v="0.52683012704712417"/>
    <n v="0.7623408242600328"/>
    <n v="75740.22"/>
    <n v="60999.869999999995"/>
    <n v="1949"/>
    <n v="3.1950887764187044E-2"/>
    <n v="1807.49"/>
    <n v="2.9631046754689808E-2"/>
    <n v="4008.5"/>
    <n v="6.571325479873974E-2"/>
    <n v="912.21"/>
    <n v="1.4954294164889206E-2"/>
    <n v="14740.349999999999"/>
    <n v="2050.7199999999998"/>
    <n v="0.13912288378498475"/>
    <n v="1068.0899999999999"/>
    <n v="7.246028757797475E-2"/>
    <n v="988.97"/>
    <n v="6.7092708110730079E-2"/>
    <n v="1229.9000000000001"/>
    <n v="8.3437638862035174E-2"/>
    <n v="28.548208097140414"/>
    <n v="24.55132052896656"/>
    <n v="87.491360548704066"/>
    <n v="2.5424891935565665E-2"/>
  </r>
  <r>
    <x v="15"/>
    <x v="3"/>
    <x v="35"/>
    <n v="111383.22000576"/>
    <n v="6325"/>
    <n v="105058.22000576"/>
    <n v="69235.760059962005"/>
    <n v="33048.770023116798"/>
    <n v="36186.9900368452"/>
    <n v="3342.6200008392302"/>
    <n v="65893.140059122758"/>
    <n v="43469.169921150402"/>
    <n v="2290.83999598026"/>
    <n v="548"/>
    <n v="203.25405110540146"/>
    <n v="119.7503833734112"/>
    <n v="126.34262784664597"/>
    <n v="0.62159955562769309"/>
    <n v="1.1116747603445625"/>
    <n v="97950.549999999988"/>
    <n v="70218.739999999991"/>
    <n v="1340.5"/>
    <n v="1.9090345397824001E-2"/>
    <n v="945"/>
    <n v="1.3457945841808044E-2"/>
    <n v="1563.5"/>
    <n v="2.2266135792240078E-2"/>
    <n v="4751"/>
    <n v="6.766000073484657E-2"/>
    <n v="27731.809999999998"/>
    <n v="3701.87"/>
    <n v="0.13348822164871316"/>
    <n v="1073.26"/>
    <n v="3.8701404632441955E-2"/>
    <n v="851.1"/>
    <n v="3.0690387681150278E-2"/>
    <n v="9602.3700000000008"/>
    <n v="0.34625832212178004"/>
    <n v="21.633939406848771"/>
    <n v="16.51014240603379"/>
    <n v="101.00210027922788"/>
    <n v="5.0936551203831046E-2"/>
  </r>
  <r>
    <x v="15"/>
    <x v="3"/>
    <x v="59"/>
    <n v="34350.6000013351"/>
    <n v="2426"/>
    <n v="31924.6000013351"/>
    <n v="16656.430025577502"/>
    <n v="7500.9600129127502"/>
    <n v="9155.4700126647895"/>
    <n v="165.39999771118201"/>
    <n v="16491.030027866356"/>
    <n v="10257.499989509601"/>
    <n v="10"/>
    <n v="152"/>
    <n v="225.99078948246776"/>
    <n v="158.44144744622039"/>
    <n v="109.58177648406274"/>
    <n v="0.48489487883559979"/>
    <n v="0.69640600959742127"/>
    <n v="22271.58"/>
    <n v="20841.900000000001"/>
    <n v="0"/>
    <n v="0"/>
    <n v="0"/>
    <n v="0"/>
    <n v="0"/>
    <n v="0"/>
    <n v="0"/>
    <n v="0"/>
    <n v="1429.68"/>
    <n v="0"/>
    <n v="0"/>
    <n v="0"/>
    <n v="0"/>
    <n v="0"/>
    <n v="0"/>
    <n v="0"/>
    <n v="0"/>
    <n v="23.427135154293605"/>
    <n v="23.126629872003519"/>
    <n v="28.901886792452832"/>
    <n v="6.8678865108713506E-3"/>
  </r>
  <r>
    <x v="15"/>
    <x v="3"/>
    <x v="36"/>
    <n v="89612.110001563997"/>
    <n v="6932"/>
    <n v="82680.110001563997"/>
    <n v="51594.590047120997"/>
    <n v="22735.180008649801"/>
    <n v="28859.4100384712"/>
    <n v="2519.1999950408899"/>
    <n v="49075.390052080111"/>
    <n v="30174.920020580299"/>
    <n v="-79.720001220702997"/>
    <n v="444"/>
    <n v="201.8290765800991"/>
    <n v="134.04709455451442"/>
    <n v="116.20403163765992"/>
    <n v="0.57575466135347697"/>
    <n v="0.90520461363694527"/>
    <n v="81323.549999999988"/>
    <n v="60470.49"/>
    <n v="3226.5"/>
    <n v="5.3356604188257779E-2"/>
    <n v="3896"/>
    <n v="6.4428120228561078E-2"/>
    <n v="2007.5"/>
    <n v="3.3198011129064772E-2"/>
    <n v="1128.3699999999999"/>
    <n v="1.8659845488270394E-2"/>
    <n v="20853.059999999998"/>
    <n v="2197.2399999999998"/>
    <n v="0.1053677493854619"/>
    <n v="1528.9"/>
    <n v="7.3317776863443554E-2"/>
    <n v="1481.72"/>
    <n v="7.1055279177252656E-2"/>
    <n v="6188.06"/>
    <n v="0.29674589724481687"/>
    <n v="23.743933497385751"/>
    <n v="18.613228735894186"/>
    <n v="118.32642330243993"/>
    <n v="4.2327466190602514E-2"/>
  </r>
  <r>
    <x v="15"/>
    <x v="4"/>
    <x v="58"/>
    <n v="56699.220002898903"/>
    <n v="1857"/>
    <n v="54842.220002898903"/>
    <n v="28350.470061592801"/>
    <n v="11781.8600070998"/>
    <n v="16568.610054493001"/>
    <n v="849.49999988079105"/>
    <n v="27500.970061712011"/>
    <n v="17574.549942202899"/>
    <n v="40"/>
    <n v="254"/>
    <n v="223.22527560196417"/>
    <n v="153.87665378226774"/>
    <n v="111.61602386453859"/>
    <n v="0.50001516881790098"/>
    <n v="0.74147623814670538"/>
    <n v="44408.969999999994"/>
    <n v="41402.949999999997"/>
    <n v="0"/>
    <n v="0"/>
    <n v="0"/>
    <n v="0"/>
    <n v="0"/>
    <n v="0"/>
    <n v="0"/>
    <n v="0"/>
    <n v="3006.02"/>
    <n v="0"/>
    <n v="0"/>
    <n v="0"/>
    <n v="0"/>
    <n v="0"/>
    <n v="0"/>
    <n v="0"/>
    <n v="0"/>
    <n v="24.862789600848377"/>
    <n v="24.073880614693774"/>
    <n v="45.316884422110547"/>
    <n v="2.1734864297474472E-2"/>
  </r>
  <r>
    <x v="15"/>
    <x v="4"/>
    <x v="37"/>
    <n v="94604.290003547401"/>
    <n v="6283"/>
    <n v="88321.290003547401"/>
    <n v="55184.210088312597"/>
    <n v="26183.690033912699"/>
    <n v="29000.5200544"/>
    <n v="2633.7100162506099"/>
    <n v="52550.500072062088"/>
    <n v="31187.4299211502"/>
    <n v="2426.6799972057302"/>
    <n v="403"/>
    <n v="234.75009926438563"/>
    <n v="151.34039723372575"/>
    <n v="136.9335237923392"/>
    <n v="0.58331614862543169"/>
    <n v="0.94563996114088911"/>
    <n v="75021.3"/>
    <n v="57873.120000000003"/>
    <n v="992.1"/>
    <n v="1.7142673489868872E-2"/>
    <n v="1430"/>
    <n v="2.4709225975720679E-2"/>
    <n v="275.75"/>
    <n v="4.764733610353131E-3"/>
    <n v="2297.9"/>
    <n v="3.9705825433292694E-2"/>
    <n v="17148.18"/>
    <n v="3316.1"/>
    <n v="0.19337912244914621"/>
    <n v="940.84"/>
    <n v="5.4865297658410396E-2"/>
    <n v="283.35000000000002"/>
    <n v="1.6523619416171281E-2"/>
    <n v="7625.28"/>
    <n v="0.4446699299867391"/>
    <n v="24.138588230556348"/>
    <n v="19.725986307982257"/>
    <n v="98.502438090375279"/>
    <n v="4.3182525655307571E-2"/>
  </r>
  <r>
    <x v="15"/>
    <x v="4"/>
    <x v="38"/>
    <n v="219778.23001075699"/>
    <n v="10741"/>
    <n v="209037.23001075699"/>
    <n v="125839.410068154"/>
    <n v="60994.349995374701"/>
    <n v="64845.060072779699"/>
    <n v="4686.64000415802"/>
    <n v="121152.77006399637"/>
    <n v="69692.030050277695"/>
    <n v="4543.4400201123199"/>
    <n v="1032"/>
    <n v="212.96340117321415"/>
    <n v="141.02980614376642"/>
    <n v="121.93741285673876"/>
    <n v="0.57257449958531026"/>
    <n v="0.89338972367792524"/>
    <n v="198050.58000000002"/>
    <n v="164259.33000000002"/>
    <n v="7667.98"/>
    <n v="4.668215802414389E-2"/>
    <n v="4578.07"/>
    <n v="2.7870989124331624E-2"/>
    <n v="7568.06"/>
    <n v="4.6073851634485539E-2"/>
    <n v="11171.78"/>
    <n v="6.8013062028196514E-2"/>
    <n v="33791.25"/>
    <n v="3358.49"/>
    <n v="9.93893389560907E-2"/>
    <n v="2174.94"/>
    <n v="6.4363999556098103E-2"/>
    <n v="2203.87"/>
    <n v="6.5220138349424778E-2"/>
    <n v="14613.56"/>
    <n v="0.43246580105796617"/>
    <n v="27.028610255283649"/>
    <n v="23.526870965783278"/>
    <n v="97.756718818155946"/>
    <n v="3.220112086701029E-2"/>
  </r>
  <r>
    <x v="15"/>
    <x v="4"/>
    <x v="40"/>
    <n v="210063.860001942"/>
    <n v="11037"/>
    <n v="199026.860001942"/>
    <n v="125965.560191927"/>
    <n v="61916.5900907498"/>
    <n v="64048.9701011777"/>
    <n v="7661.9600155353501"/>
    <n v="118303.60017639215"/>
    <n v="64323.529965402602"/>
    <n v="2960.48000311852"/>
    <n v="1002"/>
    <n v="209.64457086022156"/>
    <n v="142.49486031279531"/>
    <n v="125.71413192807137"/>
    <n v="0.59965364908920071"/>
    <n v="0.93226411524967912"/>
    <n v="189932.33"/>
    <n v="147504.59999999998"/>
    <n v="4486.25"/>
    <n v="3.0414305723346937E-2"/>
    <n v="3235.61"/>
    <n v="2.1935654888050955E-2"/>
    <n v="5355.21"/>
    <n v="3.6305376239113903E-2"/>
    <n v="9227.74"/>
    <n v="6.2558998160057389E-2"/>
    <n v="42427.73"/>
    <n v="5332.89"/>
    <n v="0.12569350281054395"/>
    <n v="2466.09"/>
    <n v="5.8124486037787075E-2"/>
    <n v="3004.9"/>
    <n v="7.0823963478602314E-2"/>
    <n v="14484.69"/>
    <n v="0.34139677046120542"/>
    <n v="25.115558331049584"/>
    <n v="20.461729220186726"/>
    <n v="120.0105506317179"/>
    <n v="5.3662754329423183E-2"/>
  </r>
  <r>
    <x v="15"/>
    <x v="4"/>
    <x v="42"/>
    <n v="245887.28001437901"/>
    <n v="6999"/>
    <n v="238888.28001437901"/>
    <n v="150658.050093511"/>
    <n v="87602.110028356299"/>
    <n v="63055.940065154799"/>
    <n v="7059.38000774384"/>
    <n v="143598.67008576725"/>
    <n v="93602.929916897803"/>
    <n v="5773.4400007724798"/>
    <n v="1140"/>
    <n v="215.69059650384125"/>
    <n v="128.51834219009538"/>
    <n v="132.15618429255358"/>
    <n v="0.61271184944866164"/>
    <n v="1.0803613986694649"/>
    <n v="248164.87"/>
    <n v="195654.29"/>
    <n v="7734.81"/>
    <n v="3.9533045761480617E-2"/>
    <n v="4042.58"/>
    <n v="2.0661852086146435E-2"/>
    <n v="3741.22"/>
    <n v="1.9121584300553798E-2"/>
    <n v="9757.82"/>
    <n v="4.9872762820585226E-2"/>
    <n v="52510.58"/>
    <n v="5171.21"/>
    <n v="9.8479392152971842E-2"/>
    <n v="4098.43"/>
    <n v="7.8049604479706755E-2"/>
    <n v="3334.65"/>
    <n v="6.3504345219572891E-2"/>
    <n v="19666.66"/>
    <n v="0.37452757139608817"/>
    <n v="28.63091400333477"/>
    <n v="23.3401794230188"/>
    <n v="184.24764912280702"/>
    <n v="4.8183305960519208E-2"/>
  </r>
  <r>
    <x v="15"/>
    <x v="4"/>
    <x v="44"/>
    <n v="158365.68000392799"/>
    <n v="6590"/>
    <n v="151775.68000392799"/>
    <n v="107361.17007146"/>
    <n v="53542.360018014901"/>
    <n v="53818.810053445399"/>
    <n v="5157.0399951934796"/>
    <n v="102204.13007626683"/>
    <n v="58627.800060749098"/>
    <n v="3997.7899922132501"/>
    <n v="859"/>
    <n v="184.36051222808845"/>
    <n v="111.45528515828364"/>
    <n v="124.98389996677568"/>
    <n v="0.67793204985320932"/>
    <n v="1.1852236166024459"/>
    <n v="135289.21000000002"/>
    <n v="104871.27"/>
    <n v="2386.46"/>
    <n v="2.2756089441846178E-2"/>
    <n v="2222.92"/>
    <n v="2.1196653764181554E-2"/>
    <n v="2859.08"/>
    <n v="2.7262757473996452E-2"/>
    <n v="5204.67"/>
    <n v="4.962913102892718E-2"/>
    <n v="30417.940000000002"/>
    <n v="3113.04"/>
    <n v="0.10234223619350948"/>
    <n v="2345.37"/>
    <n v="7.7104826954093528E-2"/>
    <n v="1817.89"/>
    <n v="5.9763744684880042E-2"/>
    <n v="10223.6"/>
    <n v="0.33610428582606183"/>
    <n v="22.178013250998699"/>
    <n v="18.067183542184974"/>
    <n v="102.89076558800316"/>
    <n v="5.3865000522087612E-2"/>
  </r>
  <r>
    <x v="15"/>
    <x v="4"/>
    <x v="45"/>
    <n v="99827.770005950704"/>
    <n v="6293.9900016784704"/>
    <n v="93533.780004272194"/>
    <n v="60980.100069999702"/>
    <n v="29949.489980697599"/>
    <n v="31030.610089302099"/>
    <n v="2510.6000127792399"/>
    <n v="58469.500057220452"/>
    <n v="33179.420055389397"/>
    <n v="1379.69000649452"/>
    <n v="576"/>
    <n v="173.31210070477545"/>
    <n v="113.31364573622699"/>
    <n v="105.86822928819392"/>
    <n v="0.61085307291112201"/>
    <n v="0.97166961720559142"/>
    <n v="74954.64"/>
    <n v="54911.27"/>
    <n v="459.15"/>
    <n v="8.3616714747264086E-3"/>
    <n v="476.85"/>
    <n v="8.684009675973622E-3"/>
    <n v="1128"/>
    <n v="2.0542231130330806E-2"/>
    <n v="2149.29"/>
    <n v="3.9141145342294945E-2"/>
    <n v="20043.370000000003"/>
    <n v="2165.35"/>
    <n v="0.10803322994087319"/>
    <n v="1210.94"/>
    <n v="6.0415987930173415E-2"/>
    <n v="1178.0999999999999"/>
    <n v="5.87775409025528E-2"/>
    <n v="6878.41"/>
    <n v="0.34317632214542759"/>
    <n v="21.805956039398538"/>
    <n v="16.856688038156076"/>
    <n v="111.4690980970082"/>
    <n v="3.8465628295888815E-2"/>
  </r>
  <r>
    <x v="15"/>
    <x v="4"/>
    <x v="47"/>
    <n v="148929.770006904"/>
    <n v="7643"/>
    <n v="141286.770006904"/>
    <n v="97766.410061446906"/>
    <n v="50508.270029840998"/>
    <n v="47258.140031606003"/>
    <n v="4472.9600064754504"/>
    <n v="93293.450054971559"/>
    <n v="60178.239974021897"/>
    <n v="4464.4200321733997"/>
    <n v="728"/>
    <n v="204.5738598995934"/>
    <n v="115.77899725372075"/>
    <n v="134.29451931517445"/>
    <n v="0.65645982033622163"/>
    <n v="1.2249257815626782"/>
    <n v="134057.92000000001"/>
    <n v="110320.64"/>
    <n v="3810.1"/>
    <n v="3.4536601673086739E-2"/>
    <n v="4971.92"/>
    <n v="4.5067903884531489E-2"/>
    <n v="2778.37"/>
    <n v="2.5184498567085906E-2"/>
    <n v="9671.51"/>
    <n v="8.7667276041908382E-2"/>
    <n v="23737.280000000002"/>
    <n v="4281.63"/>
    <n v="0.18037576335620592"/>
    <n v="2515.08"/>
    <n v="0.10595485245150243"/>
    <n v="1589.79"/>
    <n v="6.6974396392510002E-2"/>
    <n v="5695.05"/>
    <n v="0.23992007508863694"/>
    <n v="24.550005321006729"/>
    <n v="21.304019976661806"/>
    <n v="84.111783928501126"/>
    <n v="5.3068138253142626E-2"/>
  </r>
  <r>
    <x v="15"/>
    <x v="4"/>
    <x v="49"/>
    <n v="131697.340004692"/>
    <n v="6945"/>
    <n v="124752.340004692"/>
    <n v="78110.780040677593"/>
    <n v="41413.0599995218"/>
    <n v="36697.720041155801"/>
    <n v="4814.0800118446396"/>
    <n v="73296.700028832973"/>
    <n v="45718.120109025404"/>
    <n v="5528.9199936389896"/>
    <n v="684"/>
    <n v="192.53997076709356"/>
    <n v="117.61739751758422"/>
    <n v="114.19704684309592"/>
    <n v="0.59310825896631436"/>
    <n v="1.0327166026288395"/>
    <n v="126235.01"/>
    <n v="95143.42"/>
    <n v="1961.25"/>
    <n v="2.0613616790315085E-2"/>
    <n v="2478.42"/>
    <n v="2.6049305353959318E-2"/>
    <n v="1147.76"/>
    <n v="1.206347217705649E-2"/>
    <n v="-1066.6300000000001"/>
    <n v="-1.1210759503915249E-2"/>
    <n v="31091.59"/>
    <n v="1871.08"/>
    <n v="6.0179617703694149E-2"/>
    <n v="2288.56"/>
    <n v="7.3607042933474934E-2"/>
    <n v="2706.04"/>
    <n v="8.7034468163255718E-2"/>
    <n v="12434.54"/>
    <n v="0.39993258627172174"/>
    <n v="25.415380590281398"/>
    <n v="20.080466717532079"/>
    <n v="135.90961678566225"/>
    <n v="5.983918043446982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errorCaption="0.00" showError="1" missingCaption="0" updatedVersion="6" minRefreshableVersion="3" useAutoFormatting="1" itemPrintTitles="1" createdVersion="5" indent="0" outline="1" outlineData="1" multipleFieldFilters="0">
  <location ref="A9:AB11" firstHeaderRow="0" firstDataRow="1" firstDataCol="1"/>
  <pivotFields count="42">
    <pivotField axis="axisRow" showAll="0" sortType="descending">
      <items count="17">
        <item h="1" x="15"/>
        <item h="1" sd="0" x="14"/>
        <item h="1" sd="0" x="13"/>
        <item h="1" sd="0" x="12"/>
        <item h="1" sd="0" x="11"/>
        <item h="1" sd="0" x="10"/>
        <item h="1" sd="0" x="9"/>
        <item h="1" sd="0" x="8"/>
        <item sd="0" x="7"/>
        <item h="1" sd="0" x="6"/>
        <item h="1" sd="0" x="5"/>
        <item h="1" sd="0" x="4"/>
        <item h="1" sd="0" x="3"/>
        <item h="1" sd="0" x="2"/>
        <item h="1" sd="0" x="1"/>
        <item h="1" sd="0" x="0"/>
        <item t="default"/>
      </items>
    </pivotField>
    <pivotField axis="axisRow" showAll="0">
      <items count="6">
        <item sd="0" x="0"/>
        <item h="1" sd="0" x="1"/>
        <item h="1" sd="0" x="2"/>
        <item h="1" x="3"/>
        <item h="1" sd="0" x="4"/>
        <item t="default"/>
      </items>
    </pivotField>
    <pivotField axis="axisRow" showAll="0">
      <items count="62">
        <item x="18"/>
        <item x="19"/>
        <item x="0"/>
        <item x="1"/>
        <item x="2"/>
        <item x="3"/>
        <item x="4"/>
        <item x="5"/>
        <item x="6"/>
        <item x="7"/>
        <item x="8"/>
        <item x="28"/>
        <item x="37"/>
        <item x="38"/>
        <item x="29"/>
        <item x="30"/>
        <item x="39"/>
        <item x="40"/>
        <item x="41"/>
        <item x="42"/>
        <item x="31"/>
        <item x="20"/>
        <item x="21"/>
        <item x="32"/>
        <item x="43"/>
        <item x="44"/>
        <item x="45"/>
        <item x="22"/>
        <item x="23"/>
        <item x="33"/>
        <item x="34"/>
        <item x="24"/>
        <item x="46"/>
        <item x="47"/>
        <item x="9"/>
        <item x="10"/>
        <item x="11"/>
        <item x="12"/>
        <item x="48"/>
        <item x="49"/>
        <item x="13"/>
        <item x="14"/>
        <item x="35"/>
        <item x="15"/>
        <item x="16"/>
        <item x="25"/>
        <item x="26"/>
        <item x="27"/>
        <item x="17"/>
        <item x="36"/>
        <item x="52"/>
        <item x="50"/>
        <item x="53"/>
        <item x="54"/>
        <item x="51"/>
        <item x="55"/>
        <item x="56"/>
        <item x="57"/>
        <item x="58"/>
        <item x="59"/>
        <item x="60"/>
        <item t="default"/>
      </items>
    </pivotField>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showAll="0"/>
    <pivotField dataField="1" showAll="0"/>
    <pivotField dataField="1" showAll="0"/>
    <pivotField dataField="1" showAll="0"/>
    <pivotField dataField="1" showAll="0"/>
    <pivotField dataField="1" showAll="0"/>
    <pivotField dataField="1" numFmtId="164" showAll="0"/>
    <pivotField dataField="1" numFmtId="164" showAll="0"/>
    <pivotField numFmtId="164" showAll="0" defaultSubtotal="0"/>
    <pivotField dataField="1" showAll="0"/>
    <pivotField numFmtId="164" showAll="0" defaultSubtotal="0"/>
    <pivotField dataField="1" showAll="0"/>
    <pivotField numFmtId="164" showAll="0" defaultSubtotal="0"/>
    <pivotField dataField="1" numFmtId="10" showAll="0"/>
    <pivotField numFmtId="164" showAll="0" defaultSubtotal="0"/>
    <pivotField dataField="1" showAll="0"/>
    <pivotField dataField="1" numFmtId="164" showAll="0"/>
    <pivotField numFmtId="164" showAll="0" defaultSubtotal="0"/>
    <pivotField showAll="0"/>
    <pivotField numFmtId="164" showAll="0" defaultSubtotal="0"/>
    <pivotField showAll="0"/>
    <pivotField numFmtId="164" showAll="0" defaultSubtotal="0"/>
    <pivotField numFmtId="10" showAll="0" defaultSubtotal="0"/>
    <pivotField numFmtId="164" showAll="0" defaultSubtotal="0"/>
    <pivotField showAll="0" defaultSubtotal="0"/>
    <pivotField dataField="1" showAll="0"/>
    <pivotField dataField="1" showAll="0"/>
    <pivotField dataField="1" showAll="0"/>
    <pivotField dataField="1" showAll="0"/>
  </pivotFields>
  <rowFields count="3">
    <field x="0"/>
    <field x="1"/>
    <field x="2"/>
  </rowFields>
  <rowItems count="2">
    <i>
      <x v="8"/>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Total Billed Charges " fld="3" baseField="0" baseItem="0"/>
    <dataField name="Self Charges " fld="4" baseField="0" baseItem="0"/>
    <dataField name="Ins Charges " fld="5" baseField="0" baseItem="0"/>
    <dataField name="Total Pymnts" fld="6" baseField="0" baseItem="0"/>
    <dataField name="Ins Pymnts" fld="7" baseField="0" baseItem="0"/>
    <dataField name="Pt Pymnts" fld="8" baseField="0" baseItem="0"/>
    <dataField name="Refunds " fld="9" baseField="0" baseItem="0"/>
    <dataField name="Net Payments" fld="10" baseField="0" baseItem="0"/>
    <dataField name="Contractual Adj" fld="11" baseField="0" baseItem="0"/>
    <dataField name="Other Adj" fld="12" baseField="0" baseItem="0"/>
    <dataField name="Visits " fld="13" baseField="0" baseItem="0"/>
    <dataField name="Avg Gross Charge/Visit " fld="14" subtotal="average" baseField="0" baseItem="0"/>
    <dataField name="Avg Net Charge/Visit " fld="15" subtotal="average" baseField="0" baseItem="0"/>
    <dataField name="Avg Payment per Visit " fld="16" subtotal="average" baseField="0" baseItem="0"/>
    <dataField name="Avg Gross Collections " fld="17" subtotal="average" baseField="0" baseItem="0" numFmtId="10"/>
    <dataField name="Avg Net Collection" fld="18" subtotal="average" baseField="1" baseItem="2" numFmtId="10"/>
    <dataField name="  AR $ total" fld="19" baseField="0" baseItem="0"/>
    <dataField name="  Total Ins AR $" fld="20" baseField="0" baseItem="0"/>
    <dataField name="90-120%" fld="22" subtotal="average" baseField="0" baseItem="0" numFmtId="10"/>
    <dataField name="121-150%  " fld="24" subtotal="average" baseField="1" baseItem="3" numFmtId="10"/>
    <dataField name="151-180%" fld="26" subtotal="average" baseField="1" baseItem="0" numFmtId="10"/>
    <dataField name="180+ %    " fld="28" subtotal="average" baseField="1" baseItem="3" numFmtId="10"/>
    <dataField name="Total Pt AR $" fld="29" baseField="0" baseItem="0"/>
    <dataField name="DAR " fld="38" subtotal="average" baseField="0" baseItem="2" numFmtId="2"/>
    <dataField name="Ins-Only DAR" fld="39" subtotal="average" baseField="0" baseItem="0" numFmtId="2"/>
    <dataField name="Pt-Only DAR" fld="40" subtotal="average" baseField="0" baseItem="0" numFmtId="2"/>
    <dataField name="Refunds % of Net Charges " fld="41" subtotal="average" baseField="2" baseItem="3" numFmtId="10"/>
  </dataFields>
  <formats count="168">
    <format dxfId="3960">
      <pivotArea outline="0" collapsedLevelsAreSubtotals="1" fieldPosition="0"/>
    </format>
    <format dxfId="3959">
      <pivotArea dataOnly="0" labelOnly="1" outline="0" fieldPosition="0">
        <references count="1">
          <reference field="4294967294" count="18">
            <x v="0"/>
            <x v="1"/>
            <x v="2"/>
            <x v="3"/>
            <x v="4"/>
            <x v="5"/>
            <x v="6"/>
            <x v="7"/>
            <x v="8"/>
            <x v="9"/>
            <x v="10"/>
            <x v="11"/>
            <x v="12"/>
            <x v="13"/>
            <x v="14"/>
            <x v="15"/>
            <x v="16"/>
            <x v="17"/>
          </reference>
        </references>
      </pivotArea>
    </format>
    <format dxfId="3958">
      <pivotArea outline="0" collapsedLevelsAreSubtotals="1" fieldPosition="0">
        <references count="1">
          <reference field="4294967294" count="1" selected="0">
            <x v="10"/>
          </reference>
        </references>
      </pivotArea>
    </format>
    <format dxfId="3957">
      <pivotArea dataOnly="0" labelOnly="1" outline="0" fieldPosition="0">
        <references count="1">
          <reference field="4294967294" count="1">
            <x v="10"/>
          </reference>
        </references>
      </pivotArea>
    </format>
    <format dxfId="3956">
      <pivotArea type="all" dataOnly="0" outline="0" fieldPosition="0"/>
    </format>
    <format dxfId="3955">
      <pivotArea outline="0" collapsedLevelsAreSubtotals="1" fieldPosition="0"/>
    </format>
    <format dxfId="3954">
      <pivotArea field="0" type="button" dataOnly="0" labelOnly="1" outline="0" axis="axisRow" fieldPosition="0"/>
    </format>
    <format dxfId="3953">
      <pivotArea dataOnly="0" labelOnly="1" fieldPosition="0">
        <references count="1">
          <reference field="0" count="0"/>
        </references>
      </pivotArea>
    </format>
    <format dxfId="3952">
      <pivotArea dataOnly="0" labelOnly="1" grandRow="1" outline="0" fieldPosition="0"/>
    </format>
    <format dxfId="3951">
      <pivotArea dataOnly="0" labelOnly="1" outline="0" fieldPosition="0">
        <references count="1">
          <reference field="4294967294" count="18">
            <x v="0"/>
            <x v="1"/>
            <x v="2"/>
            <x v="3"/>
            <x v="4"/>
            <x v="5"/>
            <x v="6"/>
            <x v="7"/>
            <x v="8"/>
            <x v="9"/>
            <x v="10"/>
            <x v="11"/>
            <x v="12"/>
            <x v="13"/>
            <x v="14"/>
            <x v="15"/>
            <x v="16"/>
            <x v="17"/>
          </reference>
        </references>
      </pivotArea>
    </format>
    <format dxfId="3950">
      <pivotArea field="0" type="button" dataOnly="0" labelOnly="1" outline="0" axis="axisRow" fieldPosition="0"/>
    </format>
    <format dxfId="3949">
      <pivotArea dataOnly="0" labelOnly="1" outline="0" fieldPosition="0">
        <references count="1">
          <reference field="4294967294" count="18">
            <x v="0"/>
            <x v="1"/>
            <x v="2"/>
            <x v="3"/>
            <x v="4"/>
            <x v="5"/>
            <x v="6"/>
            <x v="7"/>
            <x v="8"/>
            <x v="9"/>
            <x v="10"/>
            <x v="11"/>
            <x v="12"/>
            <x v="13"/>
            <x v="14"/>
            <x v="15"/>
            <x v="16"/>
            <x v="17"/>
          </reference>
        </references>
      </pivotArea>
    </format>
    <format dxfId="3948">
      <pivotArea dataOnly="0" labelOnly="1" fieldPosition="0">
        <references count="1">
          <reference field="0" count="0"/>
        </references>
      </pivotArea>
    </format>
    <format dxfId="3947">
      <pivotArea outline="0" collapsedLevelsAreSubtotals="1" fieldPosition="0">
        <references count="1">
          <reference field="4294967294" count="1" selected="0">
            <x v="14"/>
          </reference>
        </references>
      </pivotArea>
    </format>
    <format dxfId="3946">
      <pivotArea dataOnly="0" labelOnly="1" outline="0" fieldPosition="0">
        <references count="1">
          <reference field="4294967294" count="1">
            <x v="14"/>
          </reference>
        </references>
      </pivotArea>
    </format>
    <format dxfId="3945">
      <pivotArea outline="0" collapsedLevelsAreSubtotals="1" fieldPosition="0">
        <references count="1">
          <reference field="4294967294" count="1" selected="0">
            <x v="18"/>
          </reference>
        </references>
      </pivotArea>
    </format>
    <format dxfId="3944">
      <pivotArea dataOnly="0" labelOnly="1" outline="0" fieldPosition="0">
        <references count="1">
          <reference field="4294967294" count="1">
            <x v="18"/>
          </reference>
        </references>
      </pivotArea>
    </format>
    <format dxfId="3943">
      <pivotArea outline="0" collapsedLevelsAreSubtotals="1" fieldPosition="0">
        <references count="1">
          <reference field="4294967294" count="1" selected="0">
            <x v="19"/>
          </reference>
        </references>
      </pivotArea>
    </format>
    <format dxfId="3942">
      <pivotArea dataOnly="0" labelOnly="1" outline="0" fieldPosition="0">
        <references count="1">
          <reference field="4294967294" count="1">
            <x v="19"/>
          </reference>
        </references>
      </pivotArea>
    </format>
    <format dxfId="3941">
      <pivotArea outline="0" collapsedLevelsAreSubtotals="1" fieldPosition="0">
        <references count="1">
          <reference field="4294967294" count="1" selected="0">
            <x v="20"/>
          </reference>
        </references>
      </pivotArea>
    </format>
    <format dxfId="3940">
      <pivotArea dataOnly="0" labelOnly="1" outline="0" fieldPosition="0">
        <references count="1">
          <reference field="4294967294" count="1">
            <x v="20"/>
          </reference>
        </references>
      </pivotArea>
    </format>
    <format dxfId="3939">
      <pivotArea outline="0" collapsedLevelsAreSubtotals="1" fieldPosition="0">
        <references count="1">
          <reference field="4294967294" count="1" selected="0">
            <x v="21"/>
          </reference>
        </references>
      </pivotArea>
    </format>
    <format dxfId="3938">
      <pivotArea dataOnly="0" labelOnly="1" outline="0" fieldPosition="0">
        <references count="1">
          <reference field="4294967294" count="1">
            <x v="21"/>
          </reference>
        </references>
      </pivotArea>
    </format>
    <format dxfId="3937">
      <pivotArea outline="0" collapsedLevelsAreSubtotals="1" fieldPosition="0">
        <references count="1">
          <reference field="4294967294" count="1" selected="0">
            <x v="23"/>
          </reference>
        </references>
      </pivotArea>
    </format>
    <format dxfId="3936">
      <pivotArea dataOnly="0" labelOnly="1" outline="0" fieldPosition="0">
        <references count="1">
          <reference field="4294967294" count="1">
            <x v="23"/>
          </reference>
        </references>
      </pivotArea>
    </format>
    <format dxfId="3935">
      <pivotArea outline="0" collapsedLevelsAreSubtotals="1" fieldPosition="0">
        <references count="1">
          <reference field="4294967294" count="1" selected="0">
            <x v="24"/>
          </reference>
        </references>
      </pivotArea>
    </format>
    <format dxfId="3934">
      <pivotArea dataOnly="0" labelOnly="1" outline="0" fieldPosition="0">
        <references count="1">
          <reference field="4294967294" count="1">
            <x v="24"/>
          </reference>
        </references>
      </pivotArea>
    </format>
    <format dxfId="3933">
      <pivotArea outline="0" collapsedLevelsAreSubtotals="1" fieldPosition="0">
        <references count="1">
          <reference field="4294967294" count="1" selected="0">
            <x v="25"/>
          </reference>
        </references>
      </pivotArea>
    </format>
    <format dxfId="3932">
      <pivotArea dataOnly="0" labelOnly="1" outline="0" fieldPosition="0">
        <references count="1">
          <reference field="4294967294" count="1">
            <x v="25"/>
          </reference>
        </references>
      </pivotArea>
    </format>
    <format dxfId="3931">
      <pivotArea outline="0" collapsedLevelsAreSubtotals="1" fieldPosition="0">
        <references count="1">
          <reference field="4294967294" count="1" selected="0">
            <x v="26"/>
          </reference>
        </references>
      </pivotArea>
    </format>
    <format dxfId="3930">
      <pivotArea dataOnly="0" labelOnly="1" outline="0" fieldPosition="0">
        <references count="1">
          <reference field="4294967294" count="1">
            <x v="26"/>
          </reference>
        </references>
      </pivotArea>
    </format>
    <format dxfId="3929">
      <pivotArea type="all" dataOnly="0" outline="0" fieldPosition="0"/>
    </format>
    <format dxfId="3928">
      <pivotArea outline="0" collapsedLevelsAreSubtotals="1" fieldPosition="0"/>
    </format>
    <format dxfId="3927">
      <pivotArea field="0" type="button" dataOnly="0" labelOnly="1" outline="0" axis="axisRow" fieldPosition="0"/>
    </format>
    <format dxfId="3926">
      <pivotArea dataOnly="0" labelOnly="1" fieldPosition="0">
        <references count="1">
          <reference field="0" count="0"/>
        </references>
      </pivotArea>
    </format>
    <format dxfId="3925">
      <pivotArea dataOnly="0" labelOnly="1" grandRow="1" outline="0" fieldPosition="0"/>
    </format>
    <format dxfId="3924">
      <pivotArea dataOnly="0" labelOnly="1" fieldPosition="0">
        <references count="2">
          <reference field="0" count="1" selected="0">
            <x v="13"/>
          </reference>
          <reference field="1" count="0"/>
        </references>
      </pivotArea>
    </format>
    <format dxfId="3923">
      <pivotArea dataOnly="0" labelOnly="1" fieldPosition="0">
        <references count="3">
          <reference field="0" count="1" selected="0">
            <x v="13"/>
          </reference>
          <reference field="1" count="1" selected="0">
            <x v="0"/>
          </reference>
          <reference field="2" count="17">
            <x v="2"/>
            <x v="3"/>
            <x v="4"/>
            <x v="5"/>
            <x v="6"/>
            <x v="7"/>
            <x v="8"/>
            <x v="9"/>
            <x v="10"/>
            <x v="34"/>
            <x v="35"/>
            <x v="36"/>
            <x v="37"/>
            <x v="40"/>
            <x v="41"/>
            <x v="43"/>
            <x v="44"/>
          </reference>
        </references>
      </pivotArea>
    </format>
    <format dxfId="3922">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3921">
      <pivotArea type="all" dataOnly="0" outline="0" fieldPosition="0"/>
    </format>
    <format dxfId="3920">
      <pivotArea outline="0" collapsedLevelsAreSubtotals="1" fieldPosition="0"/>
    </format>
    <format dxfId="3919">
      <pivotArea field="0" type="button" dataOnly="0" labelOnly="1" outline="0" axis="axisRow" fieldPosition="0"/>
    </format>
    <format dxfId="3918">
      <pivotArea dataOnly="0" labelOnly="1" fieldPosition="0">
        <references count="1">
          <reference field="0" count="0"/>
        </references>
      </pivotArea>
    </format>
    <format dxfId="3917">
      <pivotArea dataOnly="0" labelOnly="1" grandRow="1" outline="0" fieldPosition="0"/>
    </format>
    <format dxfId="3916">
      <pivotArea dataOnly="0" labelOnly="1" fieldPosition="0">
        <references count="2">
          <reference field="0" count="1" selected="0">
            <x v="13"/>
          </reference>
          <reference field="1" count="0"/>
        </references>
      </pivotArea>
    </format>
    <format dxfId="3915">
      <pivotArea dataOnly="0" labelOnly="1" fieldPosition="0">
        <references count="3">
          <reference field="0" count="1" selected="0">
            <x v="13"/>
          </reference>
          <reference field="1" count="1" selected="0">
            <x v="0"/>
          </reference>
          <reference field="2" count="17">
            <x v="2"/>
            <x v="3"/>
            <x v="4"/>
            <x v="5"/>
            <x v="6"/>
            <x v="7"/>
            <x v="8"/>
            <x v="9"/>
            <x v="10"/>
            <x v="34"/>
            <x v="35"/>
            <x v="36"/>
            <x v="37"/>
            <x v="40"/>
            <x v="41"/>
            <x v="43"/>
            <x v="44"/>
          </reference>
        </references>
      </pivotArea>
    </format>
    <format dxfId="3914">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3913">
      <pivotArea type="all" dataOnly="0" outline="0" fieldPosition="0"/>
    </format>
    <format dxfId="3912">
      <pivotArea outline="0" collapsedLevelsAreSubtotals="1" fieldPosition="0"/>
    </format>
    <format dxfId="3911">
      <pivotArea field="0" type="button" dataOnly="0" labelOnly="1" outline="0" axis="axisRow" fieldPosition="0"/>
    </format>
    <format dxfId="3910">
      <pivotArea dataOnly="0" labelOnly="1" fieldPosition="0">
        <references count="1">
          <reference field="0" count="0"/>
        </references>
      </pivotArea>
    </format>
    <format dxfId="3909">
      <pivotArea dataOnly="0" labelOnly="1" grandRow="1" outline="0" fieldPosition="0"/>
    </format>
    <format dxfId="3908">
      <pivotArea dataOnly="0" labelOnly="1" fieldPosition="0">
        <references count="2">
          <reference field="0" count="1" selected="0">
            <x v="13"/>
          </reference>
          <reference field="1" count="0"/>
        </references>
      </pivotArea>
    </format>
    <format dxfId="3907">
      <pivotArea dataOnly="0" labelOnly="1" fieldPosition="0">
        <references count="3">
          <reference field="0" count="1" selected="0">
            <x v="13"/>
          </reference>
          <reference field="1" count="1" selected="0">
            <x v="0"/>
          </reference>
          <reference field="2" count="17">
            <x v="2"/>
            <x v="3"/>
            <x v="4"/>
            <x v="5"/>
            <x v="6"/>
            <x v="7"/>
            <x v="8"/>
            <x v="9"/>
            <x v="10"/>
            <x v="34"/>
            <x v="35"/>
            <x v="36"/>
            <x v="37"/>
            <x v="40"/>
            <x v="41"/>
            <x v="43"/>
            <x v="44"/>
          </reference>
        </references>
      </pivotArea>
    </format>
    <format dxfId="3906">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3905">
      <pivotArea type="all" dataOnly="0" outline="0" fieldPosition="0"/>
    </format>
    <format dxfId="3904">
      <pivotArea outline="0" collapsedLevelsAreSubtotals="1" fieldPosition="0"/>
    </format>
    <format dxfId="3903">
      <pivotArea field="0" type="button" dataOnly="0" labelOnly="1" outline="0" axis="axisRow" fieldPosition="0"/>
    </format>
    <format dxfId="3902">
      <pivotArea dataOnly="0" labelOnly="1" fieldPosition="0">
        <references count="1">
          <reference field="0" count="0"/>
        </references>
      </pivotArea>
    </format>
    <format dxfId="3901">
      <pivotArea dataOnly="0" labelOnly="1" grandRow="1" outline="0" fieldPosition="0"/>
    </format>
    <format dxfId="3900">
      <pivotArea dataOnly="0" labelOnly="1" fieldPosition="0">
        <references count="2">
          <reference field="0" count="1" selected="0">
            <x v="13"/>
          </reference>
          <reference field="1" count="0"/>
        </references>
      </pivotArea>
    </format>
    <format dxfId="3899">
      <pivotArea dataOnly="0" labelOnly="1" fieldPosition="0">
        <references count="3">
          <reference field="0" count="1" selected="0">
            <x v="13"/>
          </reference>
          <reference field="1" count="1" selected="0">
            <x v="0"/>
          </reference>
          <reference field="2" count="17">
            <x v="2"/>
            <x v="3"/>
            <x v="4"/>
            <x v="5"/>
            <x v="6"/>
            <x v="7"/>
            <x v="8"/>
            <x v="9"/>
            <x v="10"/>
            <x v="34"/>
            <x v="35"/>
            <x v="36"/>
            <x v="37"/>
            <x v="40"/>
            <x v="41"/>
            <x v="43"/>
            <x v="44"/>
          </reference>
        </references>
      </pivotArea>
    </format>
    <format dxfId="3898">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3897">
      <pivotArea collapsedLevelsAreSubtotals="1" fieldPosition="0">
        <references count="2">
          <reference field="0" count="1" selected="0">
            <x v="13"/>
          </reference>
          <reference field="1" count="1">
            <x v="0"/>
          </reference>
        </references>
      </pivotArea>
    </format>
    <format dxfId="3896">
      <pivotArea collapsedLevelsAreSubtotals="1" fieldPosition="0">
        <references count="3">
          <reference field="0" count="1" selected="0">
            <x v="13"/>
          </reference>
          <reference field="1" count="1" selected="0">
            <x v="0"/>
          </reference>
          <reference field="2" count="17">
            <x v="2"/>
            <x v="3"/>
            <x v="4"/>
            <x v="5"/>
            <x v="6"/>
            <x v="7"/>
            <x v="8"/>
            <x v="9"/>
            <x v="10"/>
            <x v="34"/>
            <x v="35"/>
            <x v="36"/>
            <x v="37"/>
            <x v="40"/>
            <x v="41"/>
            <x v="43"/>
            <x v="44"/>
          </reference>
        </references>
      </pivotArea>
    </format>
    <format dxfId="3895">
      <pivotArea dataOnly="0" labelOnly="1" fieldPosition="0">
        <references count="2">
          <reference field="0" count="1" selected="0">
            <x v="13"/>
          </reference>
          <reference field="1" count="1">
            <x v="0"/>
          </reference>
        </references>
      </pivotArea>
    </format>
    <format dxfId="3894">
      <pivotArea dataOnly="0" labelOnly="1" fieldPosition="0">
        <references count="3">
          <reference field="0" count="1" selected="0">
            <x v="13"/>
          </reference>
          <reference field="1" count="1" selected="0">
            <x v="0"/>
          </reference>
          <reference field="2" count="17">
            <x v="2"/>
            <x v="3"/>
            <x v="4"/>
            <x v="5"/>
            <x v="6"/>
            <x v="7"/>
            <x v="8"/>
            <x v="9"/>
            <x v="10"/>
            <x v="34"/>
            <x v="35"/>
            <x v="36"/>
            <x v="37"/>
            <x v="40"/>
            <x v="41"/>
            <x v="43"/>
            <x v="44"/>
          </reference>
        </references>
      </pivotArea>
    </format>
    <format dxfId="3893">
      <pivotArea collapsedLevelsAreSubtotals="1" fieldPosition="0">
        <references count="2">
          <reference field="0" count="1" selected="0">
            <x v="14"/>
          </reference>
          <reference field="1" count="1">
            <x v="0"/>
          </reference>
        </references>
      </pivotArea>
    </format>
    <format dxfId="3892">
      <pivotArea collapsedLevelsAreSubtotals="1" fieldPosition="0">
        <references count="3">
          <reference field="0" count="1" selected="0">
            <x v="14"/>
          </reference>
          <reference field="1" count="1" selected="0">
            <x v="0"/>
          </reference>
          <reference field="2" count="17">
            <x v="2"/>
            <x v="3"/>
            <x v="4"/>
            <x v="5"/>
            <x v="6"/>
            <x v="7"/>
            <x v="8"/>
            <x v="9"/>
            <x v="10"/>
            <x v="34"/>
            <x v="35"/>
            <x v="36"/>
            <x v="37"/>
            <x v="40"/>
            <x v="41"/>
            <x v="43"/>
            <x v="44"/>
          </reference>
        </references>
      </pivotArea>
    </format>
    <format dxfId="3891">
      <pivotArea dataOnly="0" labelOnly="1" fieldPosition="0">
        <references count="2">
          <reference field="0" count="1" selected="0">
            <x v="14"/>
          </reference>
          <reference field="1" count="1">
            <x v="0"/>
          </reference>
        </references>
      </pivotArea>
    </format>
    <format dxfId="3890">
      <pivotArea dataOnly="0" labelOnly="1" fieldPosition="0">
        <references count="3">
          <reference field="0" count="1" selected="0">
            <x v="14"/>
          </reference>
          <reference field="1" count="1" selected="0">
            <x v="0"/>
          </reference>
          <reference field="2" count="17">
            <x v="2"/>
            <x v="3"/>
            <x v="4"/>
            <x v="5"/>
            <x v="6"/>
            <x v="7"/>
            <x v="8"/>
            <x v="9"/>
            <x v="10"/>
            <x v="34"/>
            <x v="35"/>
            <x v="36"/>
            <x v="37"/>
            <x v="40"/>
            <x v="41"/>
            <x v="43"/>
            <x v="44"/>
          </reference>
        </references>
      </pivotArea>
    </format>
    <format dxfId="3889">
      <pivotArea collapsedLevelsAreSubtotals="1" fieldPosition="0">
        <references count="3">
          <reference field="0" count="1" selected="0">
            <x v="13"/>
          </reference>
          <reference field="1" count="1" selected="0">
            <x v="2"/>
          </reference>
          <reference field="2" count="10">
            <x v="0"/>
            <x v="1"/>
            <x v="21"/>
            <x v="22"/>
            <x v="27"/>
            <x v="28"/>
            <x v="31"/>
            <x v="45"/>
            <x v="46"/>
            <x v="47"/>
          </reference>
        </references>
      </pivotArea>
    </format>
    <format dxfId="3888">
      <pivotArea dataOnly="0" labelOnly="1" fieldPosition="0">
        <references count="3">
          <reference field="0" count="1" selected="0">
            <x v="13"/>
          </reference>
          <reference field="1" count="1" selected="0">
            <x v="2"/>
          </reference>
          <reference field="2" count="10">
            <x v="0"/>
            <x v="1"/>
            <x v="21"/>
            <x v="22"/>
            <x v="27"/>
            <x v="28"/>
            <x v="31"/>
            <x v="45"/>
            <x v="46"/>
            <x v="47"/>
          </reference>
        </references>
      </pivotArea>
    </format>
    <format dxfId="3887">
      <pivotArea collapsedLevelsAreSubtotals="1" fieldPosition="0">
        <references count="3">
          <reference field="0" count="1" selected="0">
            <x v="13"/>
          </reference>
          <reference field="1" count="1" selected="0">
            <x v="1"/>
          </reference>
          <reference field="2" count="1">
            <x v="48"/>
          </reference>
        </references>
      </pivotArea>
    </format>
    <format dxfId="3886">
      <pivotArea dataOnly="0" labelOnly="1" fieldPosition="0">
        <references count="3">
          <reference field="0" count="1" selected="0">
            <x v="13"/>
          </reference>
          <reference field="1" count="1" selected="0">
            <x v="1"/>
          </reference>
          <reference field="2" count="1">
            <x v="48"/>
          </reference>
        </references>
      </pivotArea>
    </format>
    <format dxfId="3885">
      <pivotArea collapsedLevelsAreSubtotals="1" fieldPosition="0">
        <references count="3">
          <reference field="0" count="1" selected="0">
            <x v="14"/>
          </reference>
          <reference field="1" count="1" selected="0">
            <x v="1"/>
          </reference>
          <reference field="2" count="1">
            <x v="48"/>
          </reference>
        </references>
      </pivotArea>
    </format>
    <format dxfId="3884">
      <pivotArea dataOnly="0" labelOnly="1" fieldPosition="0">
        <references count="3">
          <reference field="0" count="1" selected="0">
            <x v="14"/>
          </reference>
          <reference field="1" count="1" selected="0">
            <x v="1"/>
          </reference>
          <reference field="2" count="1">
            <x v="48"/>
          </reference>
        </references>
      </pivotArea>
    </format>
    <format dxfId="3883">
      <pivotArea collapsedLevelsAreSubtotals="1" fieldPosition="0">
        <references count="3">
          <reference field="0" count="1" selected="0">
            <x v="14"/>
          </reference>
          <reference field="1" count="1" selected="0">
            <x v="2"/>
          </reference>
          <reference field="2" count="10">
            <x v="0"/>
            <x v="1"/>
            <x v="21"/>
            <x v="22"/>
            <x v="27"/>
            <x v="28"/>
            <x v="31"/>
            <x v="45"/>
            <x v="46"/>
            <x v="47"/>
          </reference>
        </references>
      </pivotArea>
    </format>
    <format dxfId="3882">
      <pivotArea dataOnly="0" labelOnly="1" fieldPosition="0">
        <references count="3">
          <reference field="0" count="1" selected="0">
            <x v="14"/>
          </reference>
          <reference field="1" count="1" selected="0">
            <x v="2"/>
          </reference>
          <reference field="2" count="10">
            <x v="0"/>
            <x v="1"/>
            <x v="21"/>
            <x v="22"/>
            <x v="27"/>
            <x v="28"/>
            <x v="31"/>
            <x v="45"/>
            <x v="46"/>
            <x v="47"/>
          </reference>
        </references>
      </pivotArea>
    </format>
    <format dxfId="3881">
      <pivotArea collapsedLevelsAreSubtotals="1" fieldPosition="0">
        <references count="3">
          <reference field="0" count="1" selected="0">
            <x v="13"/>
          </reference>
          <reference field="1" count="1" selected="0">
            <x v="3"/>
          </reference>
          <reference field="2" count="8">
            <x v="11"/>
            <x v="14"/>
            <x v="15"/>
            <x v="20"/>
            <x v="23"/>
            <x v="29"/>
            <x v="30"/>
            <x v="42"/>
          </reference>
        </references>
      </pivotArea>
    </format>
    <format dxfId="3880">
      <pivotArea dataOnly="0" labelOnly="1" fieldPosition="0">
        <references count="3">
          <reference field="0" count="1" selected="0">
            <x v="13"/>
          </reference>
          <reference field="1" count="1" selected="0">
            <x v="3"/>
          </reference>
          <reference field="2" count="8">
            <x v="11"/>
            <x v="14"/>
            <x v="15"/>
            <x v="20"/>
            <x v="23"/>
            <x v="29"/>
            <x v="30"/>
            <x v="42"/>
          </reference>
        </references>
      </pivotArea>
    </format>
    <format dxfId="3879">
      <pivotArea collapsedLevelsAreSubtotals="1" fieldPosition="0">
        <references count="2">
          <reference field="0" count="1" selected="0">
            <x v="13"/>
          </reference>
          <reference field="1" count="1">
            <x v="4"/>
          </reference>
        </references>
      </pivotArea>
    </format>
    <format dxfId="3878">
      <pivotArea collapsedLevelsAreSubtotals="1" fieldPosition="0">
        <references count="3">
          <reference field="0" count="1" selected="0">
            <x v="13"/>
          </reference>
          <reference field="1" count="1" selected="0">
            <x v="4"/>
          </reference>
          <reference field="2" count="13">
            <x v="12"/>
            <x v="13"/>
            <x v="16"/>
            <x v="17"/>
            <x v="18"/>
            <x v="19"/>
            <x v="24"/>
            <x v="25"/>
            <x v="26"/>
            <x v="32"/>
            <x v="33"/>
            <x v="38"/>
            <x v="39"/>
          </reference>
        </references>
      </pivotArea>
    </format>
    <format dxfId="3877">
      <pivotArea dataOnly="0" labelOnly="1" fieldPosition="0">
        <references count="2">
          <reference field="0" count="1" selected="0">
            <x v="13"/>
          </reference>
          <reference field="1" count="1">
            <x v="4"/>
          </reference>
        </references>
      </pivotArea>
    </format>
    <format dxfId="3876">
      <pivotArea dataOnly="0" labelOnly="1" fieldPosition="0">
        <references count="3">
          <reference field="0" count="1" selected="0">
            <x v="13"/>
          </reference>
          <reference field="1" count="1" selected="0">
            <x v="4"/>
          </reference>
          <reference field="2" count="13">
            <x v="12"/>
            <x v="13"/>
            <x v="16"/>
            <x v="17"/>
            <x v="18"/>
            <x v="19"/>
            <x v="24"/>
            <x v="25"/>
            <x v="26"/>
            <x v="32"/>
            <x v="33"/>
            <x v="38"/>
            <x v="39"/>
          </reference>
        </references>
      </pivotArea>
    </format>
    <format dxfId="3875">
      <pivotArea collapsedLevelsAreSubtotals="1" fieldPosition="0">
        <references count="3">
          <reference field="0" count="1" selected="0">
            <x v="14"/>
          </reference>
          <reference field="1" count="1" selected="0">
            <x v="3"/>
          </reference>
          <reference field="2" count="8">
            <x v="11"/>
            <x v="14"/>
            <x v="15"/>
            <x v="20"/>
            <x v="23"/>
            <x v="29"/>
            <x v="30"/>
            <x v="42"/>
          </reference>
        </references>
      </pivotArea>
    </format>
    <format dxfId="3874">
      <pivotArea dataOnly="0" labelOnly="1" fieldPosition="0">
        <references count="3">
          <reference field="0" count="1" selected="0">
            <x v="14"/>
          </reference>
          <reference field="1" count="1" selected="0">
            <x v="3"/>
          </reference>
          <reference field="2" count="8">
            <x v="11"/>
            <x v="14"/>
            <x v="15"/>
            <x v="20"/>
            <x v="23"/>
            <x v="29"/>
            <x v="30"/>
            <x v="42"/>
          </reference>
        </references>
      </pivotArea>
    </format>
    <format dxfId="3873">
      <pivotArea collapsedLevelsAreSubtotals="1" fieldPosition="0">
        <references count="2">
          <reference field="0" count="1" selected="0">
            <x v="14"/>
          </reference>
          <reference field="1" count="1">
            <x v="4"/>
          </reference>
        </references>
      </pivotArea>
    </format>
    <format dxfId="3872">
      <pivotArea collapsedLevelsAreSubtotals="1" fieldPosition="0">
        <references count="3">
          <reference field="0" count="1" selected="0">
            <x v="14"/>
          </reference>
          <reference field="1" count="1" selected="0">
            <x v="4"/>
          </reference>
          <reference field="2" count="13">
            <x v="12"/>
            <x v="13"/>
            <x v="16"/>
            <x v="17"/>
            <x v="18"/>
            <x v="19"/>
            <x v="24"/>
            <x v="25"/>
            <x v="26"/>
            <x v="32"/>
            <x v="33"/>
            <x v="38"/>
            <x v="39"/>
          </reference>
        </references>
      </pivotArea>
    </format>
    <format dxfId="3871">
      <pivotArea dataOnly="0" labelOnly="1" fieldPosition="0">
        <references count="2">
          <reference field="0" count="1" selected="0">
            <x v="14"/>
          </reference>
          <reference field="1" count="1">
            <x v="4"/>
          </reference>
        </references>
      </pivotArea>
    </format>
    <format dxfId="3870">
      <pivotArea dataOnly="0" labelOnly="1" fieldPosition="0">
        <references count="3">
          <reference field="0" count="1" selected="0">
            <x v="14"/>
          </reference>
          <reference field="1" count="1" selected="0">
            <x v="4"/>
          </reference>
          <reference field="2" count="13">
            <x v="12"/>
            <x v="13"/>
            <x v="16"/>
            <x v="17"/>
            <x v="18"/>
            <x v="19"/>
            <x v="24"/>
            <x v="25"/>
            <x v="26"/>
            <x v="32"/>
            <x v="33"/>
            <x v="38"/>
            <x v="39"/>
          </reference>
        </references>
      </pivotArea>
    </format>
    <format dxfId="3869">
      <pivotArea outline="0" collapsedLevelsAreSubtotals="1" fieldPosition="0">
        <references count="1">
          <reference field="4294967294" count="1" selected="0">
            <x v="15"/>
          </reference>
        </references>
      </pivotArea>
    </format>
    <format dxfId="3868">
      <pivotArea dataOnly="0" labelOnly="1" outline="0" fieldPosition="0">
        <references count="1">
          <reference field="4294967294" count="1">
            <x v="15"/>
          </reference>
        </references>
      </pivotArea>
    </format>
    <format dxfId="3867">
      <pivotArea dataOnly="0" labelOnly="1" outline="0" fieldPosition="0">
        <references count="1">
          <reference field="4294967294" count="5">
            <x v="17"/>
            <x v="18"/>
            <x v="19"/>
            <x v="20"/>
            <x v="21"/>
          </reference>
        </references>
      </pivotArea>
    </format>
    <format dxfId="3866">
      <pivotArea dataOnly="0" outline="0" fieldPosition="0">
        <references count="1">
          <reference field="4294967294" count="1">
            <x v="22"/>
          </reference>
        </references>
      </pivotArea>
    </format>
    <format dxfId="3865">
      <pivotArea field="0" type="button" dataOnly="0" labelOnly="1" outline="0" axis="axisRow" fieldPosition="0"/>
    </format>
    <format dxfId="3864">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3863">
      <pivotArea collapsedLevelsAreSubtotals="1" fieldPosition="0">
        <references count="3">
          <reference field="4294967294" count="17" selected="0">
            <x v="0"/>
            <x v="1"/>
            <x v="2"/>
            <x v="3"/>
            <x v="4"/>
            <x v="5"/>
            <x v="6"/>
            <x v="7"/>
            <x v="8"/>
            <x v="9"/>
            <x v="10"/>
            <x v="11"/>
            <x v="12"/>
            <x v="13"/>
            <x v="14"/>
            <x v="15"/>
            <x v="16"/>
          </reference>
          <reference field="0" count="1" selected="0">
            <x v="12"/>
          </reference>
          <reference field="1" count="1">
            <x v="0"/>
          </reference>
        </references>
      </pivotArea>
    </format>
    <format dxfId="3862">
      <pivotArea collapsedLevelsAreSubtotals="1" fieldPosition="0">
        <references count="4">
          <reference field="4294967294" count="17" selected="0">
            <x v="0"/>
            <x v="1"/>
            <x v="2"/>
            <x v="3"/>
            <x v="4"/>
            <x v="5"/>
            <x v="6"/>
            <x v="7"/>
            <x v="8"/>
            <x v="9"/>
            <x v="10"/>
            <x v="11"/>
            <x v="12"/>
            <x v="13"/>
            <x v="14"/>
            <x v="15"/>
            <x v="16"/>
          </reference>
          <reference field="0" count="1" selected="0">
            <x v="12"/>
          </reference>
          <reference field="1" count="1" selected="0">
            <x v="0"/>
          </reference>
          <reference field="2" count="17">
            <x v="2"/>
            <x v="3"/>
            <x v="4"/>
            <x v="5"/>
            <x v="6"/>
            <x v="7"/>
            <x v="8"/>
            <x v="9"/>
            <x v="10"/>
            <x v="34"/>
            <x v="35"/>
            <x v="36"/>
            <x v="37"/>
            <x v="40"/>
            <x v="41"/>
            <x v="43"/>
            <x v="44"/>
          </reference>
        </references>
      </pivotArea>
    </format>
    <format dxfId="3861">
      <pivotArea dataOnly="0" labelOnly="1" fieldPosition="0">
        <references count="2">
          <reference field="0" count="1" selected="0">
            <x v="12"/>
          </reference>
          <reference field="1" count="1">
            <x v="0"/>
          </reference>
        </references>
      </pivotArea>
    </format>
    <format dxfId="3860">
      <pivotArea dataOnly="0" labelOnly="1" fieldPosition="0">
        <references count="3">
          <reference field="0" count="1" selected="0">
            <x v="12"/>
          </reference>
          <reference field="1" count="1" selected="0">
            <x v="0"/>
          </reference>
          <reference field="2" count="17">
            <x v="2"/>
            <x v="3"/>
            <x v="4"/>
            <x v="5"/>
            <x v="6"/>
            <x v="7"/>
            <x v="8"/>
            <x v="9"/>
            <x v="10"/>
            <x v="34"/>
            <x v="35"/>
            <x v="36"/>
            <x v="37"/>
            <x v="40"/>
            <x v="41"/>
            <x v="43"/>
            <x v="44"/>
          </reference>
        </references>
      </pivotArea>
    </format>
    <format dxfId="3859">
      <pivotArea collapsedLevelsAreSubtotals="1" fieldPosition="0">
        <references count="3">
          <reference field="4294967294" count="4" selected="0">
            <x v="23"/>
            <x v="24"/>
            <x v="25"/>
            <x v="26"/>
          </reference>
          <reference field="0" count="1" selected="0">
            <x v="12"/>
          </reference>
          <reference field="1" count="1">
            <x v="0"/>
          </reference>
        </references>
      </pivotArea>
    </format>
    <format dxfId="3858">
      <pivotArea collapsedLevelsAreSubtotals="1" fieldPosition="0">
        <references count="4">
          <reference field="4294967294" count="4" selected="0">
            <x v="23"/>
            <x v="24"/>
            <x v="25"/>
            <x v="26"/>
          </reference>
          <reference field="0" count="1" selected="0">
            <x v="12"/>
          </reference>
          <reference field="1" count="1" selected="0">
            <x v="0"/>
          </reference>
          <reference field="2" count="17">
            <x v="2"/>
            <x v="3"/>
            <x v="4"/>
            <x v="5"/>
            <x v="6"/>
            <x v="7"/>
            <x v="8"/>
            <x v="9"/>
            <x v="10"/>
            <x v="34"/>
            <x v="35"/>
            <x v="36"/>
            <x v="37"/>
            <x v="40"/>
            <x v="41"/>
            <x v="43"/>
            <x v="44"/>
          </reference>
        </references>
      </pivotArea>
    </format>
    <format dxfId="3857">
      <pivotArea collapsedLevelsAreSubtotals="1" fieldPosition="0">
        <references count="4">
          <reference field="4294967294" count="17" selected="0">
            <x v="0"/>
            <x v="1"/>
            <x v="2"/>
            <x v="3"/>
            <x v="4"/>
            <x v="5"/>
            <x v="6"/>
            <x v="7"/>
            <x v="8"/>
            <x v="9"/>
            <x v="10"/>
            <x v="11"/>
            <x v="12"/>
            <x v="13"/>
            <x v="14"/>
            <x v="15"/>
            <x v="16"/>
          </reference>
          <reference field="0" count="1" selected="0">
            <x v="12"/>
          </reference>
          <reference field="1" count="1" selected="0">
            <x v="1"/>
          </reference>
          <reference field="2" count="1">
            <x v="48"/>
          </reference>
        </references>
      </pivotArea>
    </format>
    <format dxfId="3856">
      <pivotArea dataOnly="0" labelOnly="1" fieldPosition="0">
        <references count="3">
          <reference field="0" count="1" selected="0">
            <x v="12"/>
          </reference>
          <reference field="1" count="1" selected="0">
            <x v="1"/>
          </reference>
          <reference field="2" count="1">
            <x v="48"/>
          </reference>
        </references>
      </pivotArea>
    </format>
    <format dxfId="3855">
      <pivotArea collapsedLevelsAreSubtotals="1" fieldPosition="0">
        <references count="4">
          <reference field="4294967294" count="4" selected="0">
            <x v="23"/>
            <x v="24"/>
            <x v="25"/>
            <x v="26"/>
          </reference>
          <reference field="0" count="1" selected="0">
            <x v="12"/>
          </reference>
          <reference field="1" count="1" selected="0">
            <x v="1"/>
          </reference>
          <reference field="2" count="1">
            <x v="48"/>
          </reference>
        </references>
      </pivotArea>
    </format>
    <format dxfId="3854">
      <pivotArea collapsedLevelsAreSubtotals="1" fieldPosition="0">
        <references count="4">
          <reference field="4294967294" count="17" selected="0">
            <x v="0"/>
            <x v="1"/>
            <x v="2"/>
            <x v="3"/>
            <x v="4"/>
            <x v="5"/>
            <x v="6"/>
            <x v="7"/>
            <x v="8"/>
            <x v="9"/>
            <x v="10"/>
            <x v="11"/>
            <x v="12"/>
            <x v="13"/>
            <x v="14"/>
            <x v="15"/>
            <x v="16"/>
          </reference>
          <reference field="0" count="1" selected="0">
            <x v="12"/>
          </reference>
          <reference field="1" count="1" selected="0">
            <x v="2"/>
          </reference>
          <reference field="2" count="10">
            <x v="0"/>
            <x v="1"/>
            <x v="21"/>
            <x v="22"/>
            <x v="27"/>
            <x v="28"/>
            <x v="31"/>
            <x v="45"/>
            <x v="46"/>
            <x v="47"/>
          </reference>
        </references>
      </pivotArea>
    </format>
    <format dxfId="3853">
      <pivotArea dataOnly="0" labelOnly="1" fieldPosition="0">
        <references count="3">
          <reference field="0" count="1" selected="0">
            <x v="12"/>
          </reference>
          <reference field="1" count="1" selected="0">
            <x v="2"/>
          </reference>
          <reference field="2" count="10">
            <x v="0"/>
            <x v="1"/>
            <x v="21"/>
            <x v="22"/>
            <x v="27"/>
            <x v="28"/>
            <x v="31"/>
            <x v="45"/>
            <x v="46"/>
            <x v="47"/>
          </reference>
        </references>
      </pivotArea>
    </format>
    <format dxfId="3852">
      <pivotArea collapsedLevelsAreSubtotals="1" fieldPosition="0">
        <references count="4">
          <reference field="4294967294" count="4" selected="0">
            <x v="23"/>
            <x v="24"/>
            <x v="25"/>
            <x v="26"/>
          </reference>
          <reference field="0" count="1" selected="0">
            <x v="12"/>
          </reference>
          <reference field="1" count="1" selected="0">
            <x v="2"/>
          </reference>
          <reference field="2" count="10">
            <x v="0"/>
            <x v="1"/>
            <x v="21"/>
            <x v="22"/>
            <x v="27"/>
            <x v="28"/>
            <x v="31"/>
            <x v="45"/>
            <x v="46"/>
            <x v="47"/>
          </reference>
        </references>
      </pivotArea>
    </format>
    <format dxfId="3851">
      <pivotArea collapsedLevelsAreSubtotals="1" fieldPosition="0">
        <references count="4">
          <reference field="4294967294" count="17" selected="0">
            <x v="0"/>
            <x v="1"/>
            <x v="2"/>
            <x v="3"/>
            <x v="4"/>
            <x v="5"/>
            <x v="6"/>
            <x v="7"/>
            <x v="8"/>
            <x v="9"/>
            <x v="10"/>
            <x v="11"/>
            <x v="12"/>
            <x v="13"/>
            <x v="14"/>
            <x v="15"/>
            <x v="16"/>
          </reference>
          <reference field="0" count="1" selected="0">
            <x v="12"/>
          </reference>
          <reference field="1" count="1" selected="0">
            <x v="3"/>
          </reference>
          <reference field="2" count="8">
            <x v="11"/>
            <x v="14"/>
            <x v="15"/>
            <x v="20"/>
            <x v="23"/>
            <x v="29"/>
            <x v="30"/>
            <x v="42"/>
          </reference>
        </references>
      </pivotArea>
    </format>
    <format dxfId="3850">
      <pivotArea dataOnly="0" labelOnly="1" fieldPosition="0">
        <references count="3">
          <reference field="0" count="1" selected="0">
            <x v="12"/>
          </reference>
          <reference field="1" count="1" selected="0">
            <x v="3"/>
          </reference>
          <reference field="2" count="8">
            <x v="11"/>
            <x v="14"/>
            <x v="15"/>
            <x v="20"/>
            <x v="23"/>
            <x v="29"/>
            <x v="30"/>
            <x v="42"/>
          </reference>
        </references>
      </pivotArea>
    </format>
    <format dxfId="3849">
      <pivotArea collapsedLevelsAreSubtotals="1" fieldPosition="0">
        <references count="4">
          <reference field="4294967294" count="4" selected="0">
            <x v="23"/>
            <x v="24"/>
            <x v="25"/>
            <x v="26"/>
          </reference>
          <reference field="0" count="1" selected="0">
            <x v="12"/>
          </reference>
          <reference field="1" count="1" selected="0">
            <x v="3"/>
          </reference>
          <reference field="2" count="8">
            <x v="11"/>
            <x v="14"/>
            <x v="15"/>
            <x v="20"/>
            <x v="23"/>
            <x v="29"/>
            <x v="30"/>
            <x v="42"/>
          </reference>
        </references>
      </pivotArea>
    </format>
    <format dxfId="3848">
      <pivotArea collapsedLevelsAreSubtotals="1" fieldPosition="0">
        <references count="3">
          <reference field="4294967294" count="17" selected="0">
            <x v="0"/>
            <x v="1"/>
            <x v="2"/>
            <x v="3"/>
            <x v="4"/>
            <x v="5"/>
            <x v="6"/>
            <x v="7"/>
            <x v="8"/>
            <x v="9"/>
            <x v="10"/>
            <x v="11"/>
            <x v="12"/>
            <x v="13"/>
            <x v="14"/>
            <x v="15"/>
            <x v="16"/>
          </reference>
          <reference field="0" count="1" selected="0">
            <x v="12"/>
          </reference>
          <reference field="1" count="1">
            <x v="4"/>
          </reference>
        </references>
      </pivotArea>
    </format>
    <format dxfId="3847">
      <pivotArea collapsedLevelsAreSubtotals="1" fieldPosition="0">
        <references count="4">
          <reference field="4294967294" count="17" selected="0">
            <x v="0"/>
            <x v="1"/>
            <x v="2"/>
            <x v="3"/>
            <x v="4"/>
            <x v="5"/>
            <x v="6"/>
            <x v="7"/>
            <x v="8"/>
            <x v="9"/>
            <x v="10"/>
            <x v="11"/>
            <x v="12"/>
            <x v="13"/>
            <x v="14"/>
            <x v="15"/>
            <x v="16"/>
          </reference>
          <reference field="0" count="1" selected="0">
            <x v="12"/>
          </reference>
          <reference field="1" count="1" selected="0">
            <x v="4"/>
          </reference>
          <reference field="2" count="13">
            <x v="12"/>
            <x v="13"/>
            <x v="16"/>
            <x v="17"/>
            <x v="18"/>
            <x v="19"/>
            <x v="24"/>
            <x v="25"/>
            <x v="26"/>
            <x v="32"/>
            <x v="33"/>
            <x v="38"/>
            <x v="39"/>
          </reference>
        </references>
      </pivotArea>
    </format>
    <format dxfId="3846">
      <pivotArea dataOnly="0" labelOnly="1" fieldPosition="0">
        <references count="2">
          <reference field="0" count="1" selected="0">
            <x v="12"/>
          </reference>
          <reference field="1" count="1">
            <x v="4"/>
          </reference>
        </references>
      </pivotArea>
    </format>
    <format dxfId="3845">
      <pivotArea dataOnly="0" labelOnly="1" fieldPosition="0">
        <references count="3">
          <reference field="0" count="1" selected="0">
            <x v="12"/>
          </reference>
          <reference field="1" count="1" selected="0">
            <x v="4"/>
          </reference>
          <reference field="2" count="13">
            <x v="12"/>
            <x v="13"/>
            <x v="16"/>
            <x v="17"/>
            <x v="18"/>
            <x v="19"/>
            <x v="24"/>
            <x v="25"/>
            <x v="26"/>
            <x v="32"/>
            <x v="33"/>
            <x v="38"/>
            <x v="39"/>
          </reference>
        </references>
      </pivotArea>
    </format>
    <format dxfId="3844">
      <pivotArea collapsedLevelsAreSubtotals="1" fieldPosition="0">
        <references count="3">
          <reference field="4294967294" count="4" selected="0">
            <x v="23"/>
            <x v="24"/>
            <x v="25"/>
            <x v="26"/>
          </reference>
          <reference field="0" count="1" selected="0">
            <x v="12"/>
          </reference>
          <reference field="1" count="1">
            <x v="4"/>
          </reference>
        </references>
      </pivotArea>
    </format>
    <format dxfId="3843">
      <pivotArea collapsedLevelsAreSubtotals="1" fieldPosition="0">
        <references count="4">
          <reference field="4294967294" count="4" selected="0">
            <x v="23"/>
            <x v="24"/>
            <x v="25"/>
            <x v="26"/>
          </reference>
          <reference field="0" count="1" selected="0">
            <x v="12"/>
          </reference>
          <reference field="1" count="1" selected="0">
            <x v="4"/>
          </reference>
          <reference field="2" count="13">
            <x v="12"/>
            <x v="13"/>
            <x v="16"/>
            <x v="17"/>
            <x v="18"/>
            <x v="19"/>
            <x v="24"/>
            <x v="25"/>
            <x v="26"/>
            <x v="32"/>
            <x v="33"/>
            <x v="38"/>
            <x v="39"/>
          </reference>
        </references>
      </pivotArea>
    </format>
    <format dxfId="3842">
      <pivotArea collapsedLevelsAreSubtotals="1" fieldPosition="0">
        <references count="4">
          <reference field="4294967294" count="17" selected="0">
            <x v="0"/>
            <x v="1"/>
            <x v="2"/>
            <x v="3"/>
            <x v="4"/>
            <x v="5"/>
            <x v="6"/>
            <x v="7"/>
            <x v="8"/>
            <x v="9"/>
            <x v="10"/>
            <x v="11"/>
            <x v="12"/>
            <x v="13"/>
            <x v="14"/>
            <x v="15"/>
            <x v="16"/>
          </reference>
          <reference field="0" count="1" selected="0">
            <x v="10"/>
          </reference>
          <reference field="1" count="1" selected="0">
            <x v="0"/>
          </reference>
          <reference field="2" count="17">
            <x v="2"/>
            <x v="3"/>
            <x v="4"/>
            <x v="5"/>
            <x v="6"/>
            <x v="7"/>
            <x v="8"/>
            <x v="9"/>
            <x v="10"/>
            <x v="34"/>
            <x v="35"/>
            <x v="36"/>
            <x v="37"/>
            <x v="40"/>
            <x v="41"/>
            <x v="43"/>
            <x v="44"/>
          </reference>
        </references>
      </pivotArea>
    </format>
    <format dxfId="3841">
      <pivotArea dataOnly="0" labelOnly="1" fieldPosition="0">
        <references count="3">
          <reference field="0" count="1" selected="0">
            <x v="10"/>
          </reference>
          <reference field="1" count="1" selected="0">
            <x v="0"/>
          </reference>
          <reference field="2" count="17">
            <x v="2"/>
            <x v="3"/>
            <x v="4"/>
            <x v="5"/>
            <x v="6"/>
            <x v="7"/>
            <x v="8"/>
            <x v="9"/>
            <x v="10"/>
            <x v="34"/>
            <x v="35"/>
            <x v="36"/>
            <x v="37"/>
            <x v="40"/>
            <x v="41"/>
            <x v="43"/>
            <x v="44"/>
          </reference>
        </references>
      </pivotArea>
    </format>
    <format dxfId="3840">
      <pivotArea collapsedLevelsAreSubtotals="1" fieldPosition="0">
        <references count="4">
          <reference field="4294967294" count="4" selected="0">
            <x v="23"/>
            <x v="24"/>
            <x v="25"/>
            <x v="26"/>
          </reference>
          <reference field="0" count="1" selected="0">
            <x v="10"/>
          </reference>
          <reference field="1" count="1" selected="0">
            <x v="0"/>
          </reference>
          <reference field="2" count="17">
            <x v="2"/>
            <x v="3"/>
            <x v="4"/>
            <x v="5"/>
            <x v="6"/>
            <x v="7"/>
            <x v="8"/>
            <x v="9"/>
            <x v="10"/>
            <x v="34"/>
            <x v="35"/>
            <x v="36"/>
            <x v="37"/>
            <x v="40"/>
            <x v="41"/>
            <x v="43"/>
            <x v="44"/>
          </reference>
        </references>
      </pivotArea>
    </format>
    <format dxfId="3839">
      <pivotArea collapsedLevelsAreSubtotals="1" fieldPosition="0">
        <references count="4">
          <reference field="4294967294" count="17" selected="0">
            <x v="0"/>
            <x v="1"/>
            <x v="2"/>
            <x v="3"/>
            <x v="4"/>
            <x v="5"/>
            <x v="6"/>
            <x v="7"/>
            <x v="8"/>
            <x v="9"/>
            <x v="10"/>
            <x v="11"/>
            <x v="12"/>
            <x v="13"/>
            <x v="14"/>
            <x v="15"/>
            <x v="16"/>
          </reference>
          <reference field="0" count="1" selected="0">
            <x v="11"/>
          </reference>
          <reference field="1" count="1" selected="0">
            <x v="0"/>
          </reference>
          <reference field="2" count="17">
            <x v="2"/>
            <x v="3"/>
            <x v="4"/>
            <x v="5"/>
            <x v="6"/>
            <x v="7"/>
            <x v="8"/>
            <x v="9"/>
            <x v="10"/>
            <x v="34"/>
            <x v="35"/>
            <x v="36"/>
            <x v="37"/>
            <x v="40"/>
            <x v="41"/>
            <x v="43"/>
            <x v="44"/>
          </reference>
        </references>
      </pivotArea>
    </format>
    <format dxfId="3838">
      <pivotArea dataOnly="0" labelOnly="1" fieldPosition="0">
        <references count="3">
          <reference field="0" count="1" selected="0">
            <x v="11"/>
          </reference>
          <reference field="1" count="1" selected="0">
            <x v="0"/>
          </reference>
          <reference field="2" count="17">
            <x v="2"/>
            <x v="3"/>
            <x v="4"/>
            <x v="5"/>
            <x v="6"/>
            <x v="7"/>
            <x v="8"/>
            <x v="9"/>
            <x v="10"/>
            <x v="34"/>
            <x v="35"/>
            <x v="36"/>
            <x v="37"/>
            <x v="40"/>
            <x v="41"/>
            <x v="43"/>
            <x v="44"/>
          </reference>
        </references>
      </pivotArea>
    </format>
    <format dxfId="3837">
      <pivotArea collapsedLevelsAreSubtotals="1" fieldPosition="0">
        <references count="4">
          <reference field="4294967294" count="4" selected="0">
            <x v="23"/>
            <x v="24"/>
            <x v="25"/>
            <x v="26"/>
          </reference>
          <reference field="0" count="1" selected="0">
            <x v="11"/>
          </reference>
          <reference field="1" count="1" selected="0">
            <x v="0"/>
          </reference>
          <reference field="2" count="17">
            <x v="2"/>
            <x v="3"/>
            <x v="4"/>
            <x v="5"/>
            <x v="6"/>
            <x v="7"/>
            <x v="8"/>
            <x v="9"/>
            <x v="10"/>
            <x v="34"/>
            <x v="35"/>
            <x v="36"/>
            <x v="37"/>
            <x v="40"/>
            <x v="41"/>
            <x v="43"/>
            <x v="44"/>
          </reference>
        </references>
      </pivotArea>
    </format>
    <format dxfId="3836">
      <pivotArea collapsedLevelsAreSubtotals="1" fieldPosition="0">
        <references count="2">
          <reference field="0" count="1" selected="0">
            <x v="13"/>
          </reference>
          <reference field="1" count="1">
            <x v="1"/>
          </reference>
        </references>
      </pivotArea>
    </format>
    <format dxfId="3835">
      <pivotArea dataOnly="0" labelOnly="1" fieldPosition="0">
        <references count="2">
          <reference field="0" count="1" selected="0">
            <x v="13"/>
          </reference>
          <reference field="1" count="1">
            <x v="1"/>
          </reference>
        </references>
      </pivotArea>
    </format>
    <format dxfId="3834">
      <pivotArea collapsedLevelsAreSubtotals="1" fieldPosition="0">
        <references count="2">
          <reference field="0" count="1" selected="0">
            <x v="14"/>
          </reference>
          <reference field="1" count="1">
            <x v="1"/>
          </reference>
        </references>
      </pivotArea>
    </format>
    <format dxfId="3833">
      <pivotArea dataOnly="0" labelOnly="1" fieldPosition="0">
        <references count="2">
          <reference field="0" count="1" selected="0">
            <x v="14"/>
          </reference>
          <reference field="1" count="1">
            <x v="1"/>
          </reference>
        </references>
      </pivotArea>
    </format>
    <format dxfId="3832">
      <pivotArea collapsedLevelsAreSubtotals="1" fieldPosition="0">
        <references count="3">
          <reference field="4294967294" count="17" selected="0">
            <x v="0"/>
            <x v="1"/>
            <x v="2"/>
            <x v="3"/>
            <x v="4"/>
            <x v="5"/>
            <x v="6"/>
            <x v="7"/>
            <x v="8"/>
            <x v="9"/>
            <x v="10"/>
            <x v="11"/>
            <x v="12"/>
            <x v="13"/>
            <x v="14"/>
            <x v="15"/>
            <x v="16"/>
          </reference>
          <reference field="0" count="1" selected="0">
            <x v="12"/>
          </reference>
          <reference field="1" count="1">
            <x v="1"/>
          </reference>
        </references>
      </pivotArea>
    </format>
    <format dxfId="3831">
      <pivotArea dataOnly="0" labelOnly="1" fieldPosition="0">
        <references count="2">
          <reference field="0" count="1" selected="0">
            <x v="12"/>
          </reference>
          <reference field="1" count="1">
            <x v="1"/>
          </reference>
        </references>
      </pivotArea>
    </format>
    <format dxfId="3830">
      <pivotArea collapsedLevelsAreSubtotals="1" fieldPosition="0">
        <references count="3">
          <reference field="4294967294" count="4" selected="0">
            <x v="23"/>
            <x v="24"/>
            <x v="25"/>
            <x v="26"/>
          </reference>
          <reference field="0" count="1" selected="0">
            <x v="12"/>
          </reference>
          <reference field="1" count="1">
            <x v="1"/>
          </reference>
        </references>
      </pivotArea>
    </format>
    <format dxfId="3829">
      <pivotArea dataOnly="0" fieldPosition="0">
        <references count="1">
          <reference field="1" count="1">
            <x v="1"/>
          </reference>
        </references>
      </pivotArea>
    </format>
    <format dxfId="3828">
      <pivotArea dataOnly="0" fieldPosition="0">
        <references count="1">
          <reference field="2" count="1">
            <x v="48"/>
          </reference>
        </references>
      </pivotArea>
    </format>
    <format dxfId="3827">
      <pivotArea dataOnly="0" fieldPosition="0">
        <references count="1">
          <reference field="1" count="1">
            <x v="0"/>
          </reference>
        </references>
      </pivotArea>
    </format>
    <format dxfId="3826">
      <pivotArea collapsedLevelsAreSubtotals="1" fieldPosition="0">
        <references count="2">
          <reference field="0" count="1" selected="0">
            <x v="13"/>
          </reference>
          <reference field="1" count="1">
            <x v="2"/>
          </reference>
        </references>
      </pivotArea>
    </format>
    <format dxfId="3825">
      <pivotArea dataOnly="0" labelOnly="1" fieldPosition="0">
        <references count="2">
          <reference field="0" count="1" selected="0">
            <x v="13"/>
          </reference>
          <reference field="1" count="1">
            <x v="2"/>
          </reference>
        </references>
      </pivotArea>
    </format>
    <format dxfId="3824">
      <pivotArea collapsedLevelsAreSubtotals="1" fieldPosition="0">
        <references count="2">
          <reference field="0" count="1" selected="0">
            <x v="14"/>
          </reference>
          <reference field="1" count="1">
            <x v="2"/>
          </reference>
        </references>
      </pivotArea>
    </format>
    <format dxfId="3823">
      <pivotArea dataOnly="0" labelOnly="1" fieldPosition="0">
        <references count="2">
          <reference field="0" count="1" selected="0">
            <x v="14"/>
          </reference>
          <reference field="1" count="1">
            <x v="2"/>
          </reference>
        </references>
      </pivotArea>
    </format>
    <format dxfId="3822">
      <pivotArea collapsedLevelsAreSubtotals="1" fieldPosition="0">
        <references count="3">
          <reference field="4294967294" count="17" selected="0">
            <x v="0"/>
            <x v="1"/>
            <x v="2"/>
            <x v="3"/>
            <x v="4"/>
            <x v="5"/>
            <x v="6"/>
            <x v="7"/>
            <x v="8"/>
            <x v="9"/>
            <x v="10"/>
            <x v="11"/>
            <x v="12"/>
            <x v="13"/>
            <x v="14"/>
            <x v="15"/>
            <x v="16"/>
          </reference>
          <reference field="0" count="1" selected="0">
            <x v="12"/>
          </reference>
          <reference field="1" count="1">
            <x v="2"/>
          </reference>
        </references>
      </pivotArea>
    </format>
    <format dxfId="3821">
      <pivotArea dataOnly="0" labelOnly="1" fieldPosition="0">
        <references count="2">
          <reference field="0" count="1" selected="0">
            <x v="12"/>
          </reference>
          <reference field="1" count="1">
            <x v="2"/>
          </reference>
        </references>
      </pivotArea>
    </format>
    <format dxfId="3820">
      <pivotArea collapsedLevelsAreSubtotals="1" fieldPosition="0">
        <references count="3">
          <reference field="4294967294" count="4" selected="0">
            <x v="23"/>
            <x v="24"/>
            <x v="25"/>
            <x v="26"/>
          </reference>
          <reference field="0" count="1" selected="0">
            <x v="12"/>
          </reference>
          <reference field="1" count="1">
            <x v="2"/>
          </reference>
        </references>
      </pivotArea>
    </format>
    <format dxfId="3819">
      <pivotArea dataOnly="0" fieldPosition="0">
        <references count="1">
          <reference field="1" count="1">
            <x v="2"/>
          </reference>
        </references>
      </pivotArea>
    </format>
    <format dxfId="3818">
      <pivotArea dataOnly="0" fieldPosition="0">
        <references count="1">
          <reference field="2" count="10">
            <x v="0"/>
            <x v="1"/>
            <x v="21"/>
            <x v="22"/>
            <x v="27"/>
            <x v="28"/>
            <x v="31"/>
            <x v="45"/>
            <x v="46"/>
            <x v="47"/>
          </reference>
        </references>
      </pivotArea>
    </format>
    <format dxfId="3817">
      <pivotArea collapsedLevelsAreSubtotals="1" fieldPosition="0">
        <references count="2">
          <reference field="0" count="1" selected="0">
            <x v="13"/>
          </reference>
          <reference field="1" count="1">
            <x v="3"/>
          </reference>
        </references>
      </pivotArea>
    </format>
    <format dxfId="3816">
      <pivotArea dataOnly="0" labelOnly="1" fieldPosition="0">
        <references count="2">
          <reference field="0" count="1" selected="0">
            <x v="13"/>
          </reference>
          <reference field="1" count="1">
            <x v="3"/>
          </reference>
        </references>
      </pivotArea>
    </format>
    <format dxfId="3815">
      <pivotArea collapsedLevelsAreSubtotals="1" fieldPosition="0">
        <references count="2">
          <reference field="0" count="1" selected="0">
            <x v="14"/>
          </reference>
          <reference field="1" count="1">
            <x v="3"/>
          </reference>
        </references>
      </pivotArea>
    </format>
    <format dxfId="3814">
      <pivotArea dataOnly="0" labelOnly="1" fieldPosition="0">
        <references count="2">
          <reference field="0" count="1" selected="0">
            <x v="14"/>
          </reference>
          <reference field="1" count="1">
            <x v="3"/>
          </reference>
        </references>
      </pivotArea>
    </format>
    <format dxfId="3813">
      <pivotArea collapsedLevelsAreSubtotals="1" fieldPosition="0">
        <references count="3">
          <reference field="4294967294" count="17" selected="0">
            <x v="0"/>
            <x v="1"/>
            <x v="2"/>
            <x v="3"/>
            <x v="4"/>
            <x v="5"/>
            <x v="6"/>
            <x v="7"/>
            <x v="8"/>
            <x v="9"/>
            <x v="10"/>
            <x v="11"/>
            <x v="12"/>
            <x v="13"/>
            <x v="14"/>
            <x v="15"/>
            <x v="16"/>
          </reference>
          <reference field="0" count="1" selected="0">
            <x v="12"/>
          </reference>
          <reference field="1" count="1">
            <x v="3"/>
          </reference>
        </references>
      </pivotArea>
    </format>
    <format dxfId="3812">
      <pivotArea dataOnly="0" labelOnly="1" fieldPosition="0">
        <references count="2">
          <reference field="0" count="1" selected="0">
            <x v="12"/>
          </reference>
          <reference field="1" count="1">
            <x v="3"/>
          </reference>
        </references>
      </pivotArea>
    </format>
    <format dxfId="3811">
      <pivotArea collapsedLevelsAreSubtotals="1" fieldPosition="0">
        <references count="3">
          <reference field="4294967294" count="4" selected="0">
            <x v="23"/>
            <x v="24"/>
            <x v="25"/>
            <x v="26"/>
          </reference>
          <reference field="0" count="1" selected="0">
            <x v="12"/>
          </reference>
          <reference field="1" count="1">
            <x v="3"/>
          </reference>
        </references>
      </pivotArea>
    </format>
    <format dxfId="3810">
      <pivotArea dataOnly="0" fieldPosition="0">
        <references count="1">
          <reference field="1" count="1">
            <x v="3"/>
          </reference>
        </references>
      </pivotArea>
    </format>
    <format dxfId="3809">
      <pivotArea dataOnly="0" fieldPosition="0">
        <references count="1">
          <reference field="2" count="9">
            <x v="11"/>
            <x v="14"/>
            <x v="15"/>
            <x v="20"/>
            <x v="23"/>
            <x v="29"/>
            <x v="30"/>
            <x v="42"/>
            <x v="49"/>
          </reference>
        </references>
      </pivotArea>
    </format>
    <format dxfId="3808">
      <pivotArea dataOnly="0" fieldPosition="0">
        <references count="2">
          <reference field="1" count="1">
            <x v="4"/>
          </reference>
          <reference field="2" count="0" defaultSubtotal="1" sumSubtotal="1" countASubtotal="1" avgSubtotal="1" maxSubtotal="1" minSubtotal="1" productSubtotal="1" countSubtotal="1" stdDevSubtotal="1" stdDevPSubtotal="1" varSubtotal="1" varPSubtotal="1"/>
        </references>
      </pivotArea>
    </format>
    <format dxfId="3807">
      <pivotArea dataOnly="0" fieldPosition="0">
        <references count="1">
          <reference field="1" count="1">
            <x v="4"/>
          </reference>
        </references>
      </pivotArea>
    </format>
    <format dxfId="3806">
      <pivotArea collapsedLevelsAreSubtotals="1" fieldPosition="0">
        <references count="4">
          <reference field="4294967294" count="17" selected="0">
            <x v="0"/>
            <x v="1"/>
            <x v="2"/>
            <x v="3"/>
            <x v="4"/>
            <x v="5"/>
            <x v="6"/>
            <x v="7"/>
            <x v="8"/>
            <x v="9"/>
            <x v="10"/>
            <x v="11"/>
            <x v="12"/>
            <x v="13"/>
            <x v="14"/>
            <x v="15"/>
            <x v="16"/>
          </reference>
          <reference field="0" count="1" selected="0">
            <x v="9"/>
          </reference>
          <reference field="1" count="1" selected="0">
            <x v="0"/>
          </reference>
          <reference field="2" count="17">
            <x v="2"/>
            <x v="3"/>
            <x v="4"/>
            <x v="5"/>
            <x v="6"/>
            <x v="7"/>
            <x v="8"/>
            <x v="9"/>
            <x v="10"/>
            <x v="34"/>
            <x v="35"/>
            <x v="36"/>
            <x v="37"/>
            <x v="40"/>
            <x v="41"/>
            <x v="43"/>
            <x v="44"/>
          </reference>
        </references>
      </pivotArea>
    </format>
    <format dxfId="3805">
      <pivotArea dataOnly="0" labelOnly="1" fieldPosition="0">
        <references count="3">
          <reference field="0" count="1" selected="0">
            <x v="9"/>
          </reference>
          <reference field="1" count="1" selected="0">
            <x v="0"/>
          </reference>
          <reference field="2" count="17">
            <x v="2"/>
            <x v="3"/>
            <x v="4"/>
            <x v="5"/>
            <x v="6"/>
            <x v="7"/>
            <x v="8"/>
            <x v="9"/>
            <x v="10"/>
            <x v="34"/>
            <x v="35"/>
            <x v="36"/>
            <x v="37"/>
            <x v="40"/>
            <x v="41"/>
            <x v="43"/>
            <x v="44"/>
          </reference>
        </references>
      </pivotArea>
    </format>
    <format dxfId="3804">
      <pivotArea collapsedLevelsAreSubtotals="1" fieldPosition="0">
        <references count="4">
          <reference field="4294967294" count="4" selected="0">
            <x v="23"/>
            <x v="24"/>
            <x v="25"/>
            <x v="26"/>
          </reference>
          <reference field="0" count="1" selected="0">
            <x v="9"/>
          </reference>
          <reference field="1" count="1" selected="0">
            <x v="0"/>
          </reference>
          <reference field="2" count="17">
            <x v="2"/>
            <x v="3"/>
            <x v="4"/>
            <x v="5"/>
            <x v="6"/>
            <x v="7"/>
            <x v="8"/>
            <x v="9"/>
            <x v="10"/>
            <x v="34"/>
            <x v="35"/>
            <x v="36"/>
            <x v="37"/>
            <x v="40"/>
            <x v="41"/>
            <x v="43"/>
            <x v="44"/>
          </reference>
        </references>
      </pivotArea>
    </format>
    <format dxfId="3803">
      <pivotArea collapsedLevelsAreSubtotals="1" fieldPosition="0">
        <references count="3">
          <reference field="0" count="1" selected="0">
            <x v="9"/>
          </reference>
          <reference field="1" count="1" selected="0">
            <x v="4"/>
          </reference>
          <reference field="2" count="13">
            <x v="12"/>
            <x v="13"/>
            <x v="16"/>
            <x v="17"/>
            <x v="18"/>
            <x v="19"/>
            <x v="24"/>
            <x v="25"/>
            <x v="26"/>
            <x v="32"/>
            <x v="33"/>
            <x v="38"/>
            <x v="39"/>
          </reference>
        </references>
      </pivotArea>
    </format>
    <format dxfId="3802">
      <pivotArea dataOnly="0" labelOnly="1" fieldPosition="0">
        <references count="3">
          <reference field="0" count="1" selected="0">
            <x v="9"/>
          </reference>
          <reference field="1" count="1" selected="0">
            <x v="4"/>
          </reference>
          <reference field="2" count="13">
            <x v="12"/>
            <x v="13"/>
            <x v="16"/>
            <x v="17"/>
            <x v="18"/>
            <x v="19"/>
            <x v="24"/>
            <x v="25"/>
            <x v="26"/>
            <x v="32"/>
            <x v="33"/>
            <x v="38"/>
            <x v="39"/>
          </reference>
        </references>
      </pivotArea>
    </format>
    <format dxfId="3801">
      <pivotArea collapsedLevelsAreSubtotals="1" fieldPosition="0">
        <references count="2">
          <reference field="4294967294" count="1" selected="0">
            <x v="24"/>
          </reference>
          <reference field="0" count="1">
            <x v="6"/>
          </reference>
        </references>
      </pivotArea>
    </format>
    <format dxfId="3800">
      <pivotArea collapsedLevelsAreSubtotals="1" fieldPosition="0">
        <references count="2">
          <reference field="4294967294" count="1" selected="0">
            <x v="13"/>
          </reference>
          <reference field="0" count="1">
            <x v="6"/>
          </reference>
        </references>
      </pivotArea>
    </format>
    <format dxfId="3799">
      <pivotArea dataOnly="0" fieldPosition="0">
        <references count="1">
          <reference field="0" count="1">
            <x v="6"/>
          </reference>
        </references>
      </pivotArea>
    </format>
    <format dxfId="3798">
      <pivotArea collapsedLevelsAreSubtotals="1" fieldPosition="0">
        <references count="2">
          <reference field="0" count="1" selected="0">
            <x v="6"/>
          </reference>
          <reference field="1" count="1">
            <x v="1"/>
          </reference>
        </references>
      </pivotArea>
    </format>
    <format dxfId="3797">
      <pivotArea dataOnly="0" labelOnly="1" fieldPosition="0">
        <references count="2">
          <reference field="0" count="1" selected="0">
            <x v="6"/>
          </reference>
          <reference field="1" count="1">
            <x v="1"/>
          </reference>
        </references>
      </pivotArea>
    </format>
    <format dxfId="3796">
      <pivotArea collapsedLevelsAreSubtotals="1" fieldPosition="0">
        <references count="2">
          <reference field="0" count="1" selected="0">
            <x v="6"/>
          </reference>
          <reference field="1" count="1">
            <x v="0"/>
          </reference>
        </references>
      </pivotArea>
    </format>
    <format dxfId="3795">
      <pivotArea dataOnly="0" labelOnly="1" fieldPosition="0">
        <references count="2">
          <reference field="0" count="1" selected="0">
            <x v="6"/>
          </reference>
          <reference field="1" count="1">
            <x v="0"/>
          </reference>
        </references>
      </pivotArea>
    </format>
    <format dxfId="3794">
      <pivotArea outline="0" collapsedLevelsAreSubtotals="1" fieldPosition="0">
        <references count="1">
          <reference field="4294967294" count="1" selected="0">
            <x v="22"/>
          </reference>
        </references>
      </pivotArea>
    </format>
    <format dxfId="3793">
      <pivotArea outline="0" collapsedLevelsAreSubtotals="1" fieldPosition="0">
        <references count="1">
          <reference field="4294967294" count="5" selected="0">
            <x v="17"/>
            <x v="18"/>
            <x v="19"/>
            <x v="20"/>
            <x v="2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1" sourceName="Month">
  <pivotTables>
    <pivotTable tabId="60" name="PivotTable1"/>
  </pivotTables>
  <data>
    <tabular pivotCacheId="4">
      <items count="16">
        <i x="0"/>
        <i x="1"/>
        <i x="2"/>
        <i x="3"/>
        <i x="4"/>
        <i x="5"/>
        <i x="6"/>
        <i x="7" s="1"/>
        <i x="8"/>
        <i x="9"/>
        <i x="10"/>
        <i x="11"/>
        <i x="12"/>
        <i x="13"/>
        <i x="14"/>
        <i x="15"/>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MARKET1" sourceName="MARKET">
  <pivotTables>
    <pivotTable tabId="60" name="PivotTable1"/>
  </pivotTables>
  <data>
    <tabular pivotCacheId="4">
      <items count="5">
        <i x="0" s="1"/>
        <i x="1"/>
        <i x="2"/>
        <i x="3"/>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1" cache="Slicer_Month1" caption="Month" columnCount="4" lockedPosition="1" rowHeight="182880"/>
  <slicer name="MARKET 1" cache="Slicer_MARKET1" caption="MARKET" columnCount="5" lockedPosition="1" rowHeight="225425"/>
</slicers>
</file>

<file path=xl/tables/table1.xml><?xml version="1.0" encoding="utf-8"?>
<table xmlns="http://schemas.openxmlformats.org/spreadsheetml/2006/main" id="2" name="Table13" displayName="Table13" ref="A1:AP787" headerRowDxfId="3792" dataDxfId="3790" headerRowBorderDxfId="3791" tableBorderDxfId="3789" totalsRowBorderDxfId="3788">
  <autoFilter ref="A1:AP787"/>
  <tableColumns count="42">
    <tableColumn id="1" name="Month" dataDxfId="3787" totalsRowDxfId="3786"/>
    <tableColumn id="2" name="MARKET" dataDxfId="3785" totalsRowDxfId="3784"/>
    <tableColumn id="3" name="Facility " dataDxfId="3783" totalsRowDxfId="3782"/>
    <tableColumn id="4" name="Total Billed Charges" totalsRowFunction="custom" dataDxfId="3781" totalsRowDxfId="3780">
      <totalsRowFormula>SUM(D247:D296)</totalsRowFormula>
    </tableColumn>
    <tableColumn id="5" name="Self Charges" totalsRowFunction="custom" dataDxfId="3779" totalsRowDxfId="3778">
      <totalsRowFormula>SUM(E247:E296)</totalsRowFormula>
    </tableColumn>
    <tableColumn id="6" name="Ins Charges" totalsRowFunction="custom" dataDxfId="3777" totalsRowDxfId="3776">
      <totalsRowFormula>SUM(F247:F296)</totalsRowFormula>
    </tableColumn>
    <tableColumn id="7" name="Total Payments" totalsRowFunction="custom" dataDxfId="3775" totalsRowDxfId="3774">
      <totalsRowFormula>SUM(G247:G296)</totalsRowFormula>
    </tableColumn>
    <tableColumn id="8" name="Ins Payments" totalsRowFunction="custom" dataDxfId="3773" totalsRowDxfId="3772">
      <totalsRowFormula>SUM(H247:H296)</totalsRowFormula>
    </tableColumn>
    <tableColumn id="9" name="Pt Payments" totalsRowFunction="custom" dataDxfId="3771" totalsRowDxfId="3770">
      <totalsRowFormula>SUM(I247:I296)</totalsRowFormula>
    </tableColumn>
    <tableColumn id="10" name="Refunds" totalsRowFunction="custom" dataDxfId="3769" totalsRowDxfId="3768">
      <totalsRowFormula>SUM(J247:J296)</totalsRowFormula>
    </tableColumn>
    <tableColumn id="11" name="Net Payment" totalsRowFunction="custom" dataDxfId="3767" totalsRowDxfId="3766">
      <totalsRowFormula>SUM(K247:K296)</totalsRowFormula>
    </tableColumn>
    <tableColumn id="12" name="Adjustments Contractual" totalsRowFunction="custom" dataDxfId="3765" totalsRowDxfId="3764">
      <totalsRowFormula>SUM(L247:L296)</totalsRowFormula>
    </tableColumn>
    <tableColumn id="13" name="Adjustments Other" totalsRowFunction="custom" dataDxfId="3763" totalsRowDxfId="3762">
      <totalsRowFormula>SUM(M247:M296)</totalsRowFormula>
    </tableColumn>
    <tableColumn id="14" name="# of visits" totalsRowFunction="custom" dataDxfId="3761" totalsRowDxfId="3760">
      <totalsRowFormula>SUM(N247:N296)</totalsRowFormula>
    </tableColumn>
    <tableColumn id="15" name="Avg Gross Charge/Visit" totalsRowFunction="custom" dataDxfId="3759" totalsRowDxfId="3758">
      <totalsRowFormula>SUM(O247:O296)</totalsRowFormula>
    </tableColumn>
    <tableColumn id="16" name="Avg Net Charge/Visit" totalsRowFunction="custom" dataDxfId="3757" totalsRowDxfId="3756">
      <totalsRowFormula>SUM(P247:P296)</totalsRowFormula>
    </tableColumn>
    <tableColumn id="17" name="Avg Payment per Visit" totalsRowFunction="custom" dataDxfId="3755" totalsRowDxfId="3754">
      <totalsRowFormula>SUM(Q247:Q296)</totalsRowFormula>
    </tableColumn>
    <tableColumn id="18" name="Gross Collections" totalsRowFunction="custom" dataDxfId="3753" totalsRowDxfId="3752">
      <totalsRowFormula>SUM(R247:R296)</totalsRowFormula>
    </tableColumn>
    <tableColumn id="19" name="Net Collections" totalsRowFunction="custom" dataDxfId="3751" totalsRowDxfId="3750">
      <totalsRowFormula>SUM(S247:S296)</totalsRowFormula>
    </tableColumn>
    <tableColumn id="20" name="AR $ total" totalsRowFunction="custom" dataDxfId="3749" totalsRowDxfId="3748">
      <totalsRowFormula>SUM(T247:T296)</totalsRowFormula>
    </tableColumn>
    <tableColumn id="21" name="Total Ins AR $" totalsRowFunction="custom" dataDxfId="3747" totalsRowDxfId="3746">
      <totalsRowFormula>SUM(U247:U296)</totalsRowFormula>
    </tableColumn>
    <tableColumn id="22" name="Ins Only 91-120" totalsRowFunction="custom" dataDxfId="3745" totalsRowDxfId="3744">
      <totalsRowFormula>SUM(V247:V296)</totalsRowFormula>
    </tableColumn>
    <tableColumn id="23" name="%" totalsRowFunction="custom" dataDxfId="3743" totalsRowDxfId="3742">
      <totalsRowFormula>SUM(W247:W296)</totalsRowFormula>
    </tableColumn>
    <tableColumn id="24" name="Ins Only 121-150" totalsRowFunction="custom" dataDxfId="3741" totalsRowDxfId="3740">
      <totalsRowFormula>SUM(X247:X296)</totalsRowFormula>
    </tableColumn>
    <tableColumn id="25" name="%2" totalsRowFunction="custom" dataDxfId="3739" totalsRowDxfId="3738">
      <totalsRowFormula>SUM(Y247:Y296)</totalsRowFormula>
    </tableColumn>
    <tableColumn id="26" name="Ins Only 151-180" totalsRowFunction="custom" dataDxfId="3737" totalsRowDxfId="3736">
      <totalsRowFormula>SUM(Z247:Z296)</totalsRowFormula>
    </tableColumn>
    <tableColumn id="27" name="%3" totalsRowFunction="custom" dataDxfId="3735" totalsRowDxfId="3734">
      <totalsRowFormula>SUM(AA247:AA296)</totalsRowFormula>
    </tableColumn>
    <tableColumn id="28" name="Ins Only 180+" totalsRowFunction="custom" dataDxfId="3733" totalsRowDxfId="3732">
      <totalsRowFormula>SUM(AB247:AB296)</totalsRowFormula>
    </tableColumn>
    <tableColumn id="29" name="%4" totalsRowFunction="custom" dataDxfId="3731" totalsRowDxfId="3730">
      <totalsRowFormula>SUM(AC247:AC296)</totalsRowFormula>
    </tableColumn>
    <tableColumn id="30" name="Total Patient AR $" totalsRowFunction="custom" dataDxfId="3729" totalsRowDxfId="3728">
      <totalsRowFormula>SUM(AD247:AD296)</totalsRowFormula>
    </tableColumn>
    <tableColumn id="31" name="Pt Only 91-120  " totalsRowFunction="custom" dataDxfId="3727" totalsRowDxfId="3726">
      <totalsRowFormula>SUM(AE247:AE296)</totalsRowFormula>
    </tableColumn>
    <tableColumn id="32" name="%6" totalsRowFunction="custom" dataDxfId="3725" totalsRowDxfId="3724">
      <totalsRowFormula>SUM(AF247:AF296)</totalsRowFormula>
    </tableColumn>
    <tableColumn id="33" name="Pt Only 121-150  " totalsRowFunction="custom" dataDxfId="3723" totalsRowDxfId="3722">
      <totalsRowFormula>SUM(AG247:AG296)</totalsRowFormula>
    </tableColumn>
    <tableColumn id="34" name="%8" totalsRowFunction="custom" dataDxfId="3721" totalsRowDxfId="3720">
      <totalsRowFormula>SUM(AH247:AH296)</totalsRowFormula>
    </tableColumn>
    <tableColumn id="35" name="Pt Only 151-180  " totalsRowFunction="custom" dataDxfId="3719" totalsRowDxfId="3718">
      <totalsRowFormula>SUM(AI247:AI296)</totalsRowFormula>
    </tableColumn>
    <tableColumn id="36" name="%10" totalsRowFunction="custom" dataDxfId="3717" totalsRowDxfId="3716">
      <totalsRowFormula>SUM(AJ247:AJ296)</totalsRowFormula>
    </tableColumn>
    <tableColumn id="37" name="Pt Only 180+  " totalsRowFunction="custom" dataDxfId="3715" totalsRowDxfId="3714">
      <totalsRowFormula>SUM(AK247:AK296)</totalsRowFormula>
    </tableColumn>
    <tableColumn id="38" name="%12" totalsRowFunction="custom" dataDxfId="3713" totalsRowDxfId="3712">
      <totalsRowFormula>SUM(AL247:AL296)</totalsRowFormula>
    </tableColumn>
    <tableColumn id="39" name="DAR" totalsRowFunction="custom" dataDxfId="3711" totalsRowDxfId="3710">
      <totalsRowFormula>SUM(AM247:AM296)</totalsRowFormula>
    </tableColumn>
    <tableColumn id="40" name="Insurance-only DAR" totalsRowFunction="custom" dataDxfId="3709" totalsRowDxfId="3708">
      <totalsRowFormula>SUM(AN247:AN296)</totalsRowFormula>
    </tableColumn>
    <tableColumn id="41" name="Patient-only DAR" totalsRowFunction="custom" dataDxfId="3707" totalsRowDxfId="3706">
      <totalsRowFormula>SUM(AO247:AO296)</totalsRowFormula>
    </tableColumn>
    <tableColumn id="42" name="Refunds as % of Net Charges" totalsRowFunction="custom" dataDxfId="3705" totalsRowDxfId="3704">
      <totalsRowFormula>SUM(AP247:AP296)</totalsRowFormula>
    </tableColumn>
  </tableColumns>
  <tableStyleInfo name="TableStyleLight21" showFirstColumn="0" showLastColumn="0" showRowStripes="0" showColumnStripes="0"/>
</table>
</file>

<file path=xl/tables/table2.xml><?xml version="1.0" encoding="utf-8"?>
<table xmlns="http://schemas.openxmlformats.org/spreadsheetml/2006/main" id="10" name="Table1347891011" displayName="Table1347891011" ref="A1:C5" totalsRowShown="0" headerRowDxfId="3703" dataDxfId="3701" headerRowBorderDxfId="3702" tableBorderDxfId="3700" totalsRowBorderDxfId="3699">
  <tableColumns count="3">
    <tableColumn id="1" name="Sl#" dataDxfId="3698"/>
    <tableColumn id="3" name="Facility" dataDxfId="3697"/>
    <tableColumn id="2" name="Description Notes - Apr'17" dataDxfId="3696"/>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BP175"/>
  <sheetViews>
    <sheetView showGridLines="0" tabSelected="1" workbookViewId="0">
      <pane xSplit="1" topLeftCell="B1" activePane="topRight" state="frozen"/>
      <selection activeCell="BO18" sqref="BO18"/>
      <selection pane="topRight" activeCell="A9" sqref="A9"/>
    </sheetView>
  </sheetViews>
  <sheetFormatPr defaultRowHeight="12.75" x14ac:dyDescent="0.2"/>
  <cols>
    <col min="1" max="1" width="14.28515625" style="289" customWidth="1"/>
    <col min="2" max="2" width="12.85546875" style="289" customWidth="1"/>
    <col min="3" max="3" width="11.85546875" style="289" customWidth="1"/>
    <col min="4" max="5" width="12.85546875" style="289" customWidth="1"/>
    <col min="6" max="8" width="11.85546875" style="289" customWidth="1"/>
    <col min="9" max="9" width="12.140625" style="289" customWidth="1"/>
    <col min="10" max="10" width="13.140625" style="289" customWidth="1"/>
    <col min="11" max="11" width="8.7109375" style="289" customWidth="1"/>
    <col min="12" max="12" width="5.140625" style="349" customWidth="1"/>
    <col min="13" max="14" width="10.7109375" style="289" customWidth="1"/>
    <col min="15" max="15" width="11.28515625" style="289" customWidth="1"/>
    <col min="16" max="16" width="9.42578125" style="347" customWidth="1"/>
    <col min="17" max="17" width="8.7109375" style="352" customWidth="1"/>
    <col min="18" max="19" width="12.85546875" style="289" customWidth="1"/>
    <col min="20" max="20" width="7.85546875" style="289" customWidth="1"/>
    <col min="21" max="21" width="5.7109375" style="347" customWidth="1"/>
    <col min="22" max="22" width="5.7109375" style="289" customWidth="1"/>
    <col min="23" max="23" width="6.7109375" style="347" customWidth="1"/>
    <col min="24" max="24" width="11.85546875" style="289" customWidth="1"/>
    <col min="25" max="25" width="5.42578125" style="347" customWidth="1"/>
    <col min="26" max="26" width="11" style="289" customWidth="1"/>
    <col min="27" max="27" width="6.42578125" style="347" customWidth="1"/>
    <col min="28" max="28" width="11" style="289" customWidth="1"/>
    <col min="29" max="29" width="5.42578125" style="289" customWidth="1"/>
    <col min="30" max="30" width="7.28515625" style="347" customWidth="1"/>
    <col min="31" max="31" width="6.85546875" style="289" customWidth="1"/>
    <col min="32" max="32" width="9" style="347" customWidth="1"/>
    <col min="33" max="33" width="7.28515625" style="289" customWidth="1"/>
    <col min="34" max="34" width="7.7109375" style="347" customWidth="1"/>
    <col min="35" max="35" width="12.85546875" style="289" customWidth="1"/>
    <col min="36" max="36" width="6.7109375" style="347" customWidth="1"/>
    <col min="37" max="38" width="7.42578125" style="348" customWidth="1"/>
    <col min="39" max="39" width="8.42578125" style="348" customWidth="1"/>
    <col min="40" max="40" width="11" style="347" customWidth="1"/>
    <col min="41" max="16384" width="9.140625" style="289"/>
  </cols>
  <sheetData>
    <row r="4" spans="1:68" x14ac:dyDescent="0.2">
      <c r="BP4" s="289">
        <v>5974908.2901375443</v>
      </c>
    </row>
    <row r="5" spans="1:68" x14ac:dyDescent="0.2">
      <c r="BP5" s="289">
        <v>377275.78999996191</v>
      </c>
    </row>
    <row r="6" spans="1:68" x14ac:dyDescent="0.2">
      <c r="BP6" s="289">
        <v>1723859.1027311464</v>
      </c>
    </row>
    <row r="7" spans="1:68" x14ac:dyDescent="0.2">
      <c r="BP7" s="289">
        <v>1886936.4053251962</v>
      </c>
    </row>
    <row r="8" spans="1:68" x14ac:dyDescent="0.2">
      <c r="BP8" s="289">
        <v>272134.43085956585</v>
      </c>
    </row>
    <row r="9" spans="1:68" s="356" customFormat="1" ht="38.25" x14ac:dyDescent="0.2">
      <c r="A9" s="839" t="s">
        <v>213</v>
      </c>
      <c r="B9" s="840" t="s">
        <v>215</v>
      </c>
      <c r="C9" s="840" t="s">
        <v>216</v>
      </c>
      <c r="D9" s="840" t="s">
        <v>217</v>
      </c>
      <c r="E9" s="840" t="s">
        <v>218</v>
      </c>
      <c r="F9" s="840" t="s">
        <v>219</v>
      </c>
      <c r="G9" s="840" t="s">
        <v>220</v>
      </c>
      <c r="H9" s="840" t="s">
        <v>221</v>
      </c>
      <c r="I9" s="840" t="s">
        <v>272</v>
      </c>
      <c r="J9" s="840" t="s">
        <v>222</v>
      </c>
      <c r="K9" s="840" t="s">
        <v>223</v>
      </c>
      <c r="L9" s="841" t="s">
        <v>224</v>
      </c>
      <c r="M9" s="840" t="s">
        <v>225</v>
      </c>
      <c r="N9" s="840" t="s">
        <v>273</v>
      </c>
      <c r="O9" s="840" t="s">
        <v>274</v>
      </c>
      <c r="P9" s="842" t="s">
        <v>275</v>
      </c>
      <c r="Q9" s="842" t="s">
        <v>231</v>
      </c>
      <c r="R9" s="840" t="s">
        <v>226</v>
      </c>
      <c r="S9" s="843" t="s">
        <v>227</v>
      </c>
      <c r="T9" s="844" t="s">
        <v>286</v>
      </c>
      <c r="U9" s="844" t="s">
        <v>287</v>
      </c>
      <c r="V9" s="844" t="s">
        <v>288</v>
      </c>
      <c r="W9" s="844" t="s">
        <v>289</v>
      </c>
      <c r="X9" s="845" t="s">
        <v>230</v>
      </c>
      <c r="Y9" s="846" t="s">
        <v>228</v>
      </c>
      <c r="Z9" s="846" t="s">
        <v>271</v>
      </c>
      <c r="AA9" s="846" t="s">
        <v>229</v>
      </c>
      <c r="AB9" s="842" t="s">
        <v>232</v>
      </c>
      <c r="AC9"/>
      <c r="AD9"/>
      <c r="AE9"/>
      <c r="AF9"/>
      <c r="AG9"/>
      <c r="AH9"/>
      <c r="AI9"/>
      <c r="AJ9"/>
      <c r="AK9"/>
      <c r="AL9"/>
      <c r="AM9"/>
      <c r="AN9"/>
    </row>
    <row r="10" spans="1:68" x14ac:dyDescent="0.2">
      <c r="A10" s="837">
        <v>42583</v>
      </c>
      <c r="B10" s="832">
        <v>1550138.8100540501</v>
      </c>
      <c r="C10" s="832">
        <v>156690</v>
      </c>
      <c r="D10" s="832">
        <v>1393448.8100540501</v>
      </c>
      <c r="E10" s="832">
        <v>1037789.5001130023</v>
      </c>
      <c r="F10" s="832">
        <v>513438.12952842721</v>
      </c>
      <c r="G10" s="832">
        <v>524351.37058457581</v>
      </c>
      <c r="H10" s="832">
        <v>175914.2500533257</v>
      </c>
      <c r="I10" s="832">
        <v>861875.25005967729</v>
      </c>
      <c r="J10" s="832">
        <v>481683.16017265461</v>
      </c>
      <c r="K10" s="832">
        <v>-70.980006679891858</v>
      </c>
      <c r="L10" s="833">
        <v>9709</v>
      </c>
      <c r="M10" s="832">
        <v>162.7649590299612</v>
      </c>
      <c r="N10" s="832">
        <v>112.34020942101738</v>
      </c>
      <c r="O10" s="832">
        <v>108.31195500898885</v>
      </c>
      <c r="P10" s="834">
        <v>0.66647398229444466</v>
      </c>
      <c r="Q10" s="834">
        <v>0.62721782202546728</v>
      </c>
      <c r="R10" s="832">
        <v>1899588.24</v>
      </c>
      <c r="S10" s="847">
        <v>1347670.9400000002</v>
      </c>
      <c r="T10" s="848">
        <v>2.4964332045449764E-2</v>
      </c>
      <c r="U10" s="848">
        <v>2.097911060985326E-2</v>
      </c>
      <c r="V10" s="848">
        <v>1.051254416306247E-2</v>
      </c>
      <c r="W10" s="848">
        <v>0.27085499229229604</v>
      </c>
      <c r="X10" s="838">
        <v>551917.30000000005</v>
      </c>
      <c r="Y10" s="836">
        <v>35.473134984263019</v>
      </c>
      <c r="Z10" s="836">
        <v>27.454712755314262</v>
      </c>
      <c r="AA10" s="836">
        <v>136.74929728812157</v>
      </c>
      <c r="AB10" s="834">
        <v>0.88567626865693605</v>
      </c>
      <c r="AC10"/>
      <c r="AD10"/>
      <c r="AE10"/>
      <c r="AF10"/>
      <c r="AG10"/>
      <c r="AH10"/>
      <c r="AI10"/>
      <c r="AJ10"/>
      <c r="AK10"/>
      <c r="AL10"/>
      <c r="AM10"/>
      <c r="AN10"/>
      <c r="BP10" s="289">
        <v>2105614.8973325035</v>
      </c>
    </row>
    <row r="11" spans="1:68" x14ac:dyDescent="0.2">
      <c r="A11" s="835" t="s">
        <v>214</v>
      </c>
      <c r="B11" s="832">
        <v>1550138.8100540501</v>
      </c>
      <c r="C11" s="832">
        <v>156690</v>
      </c>
      <c r="D11" s="832">
        <v>1393448.8100540501</v>
      </c>
      <c r="E11" s="832">
        <v>1037789.5001130023</v>
      </c>
      <c r="F11" s="832">
        <v>513438.12952842721</v>
      </c>
      <c r="G11" s="832">
        <v>524351.37058457581</v>
      </c>
      <c r="H11" s="832">
        <v>175914.2500533257</v>
      </c>
      <c r="I11" s="832">
        <v>861875.25005967729</v>
      </c>
      <c r="J11" s="832">
        <v>481683.16017265461</v>
      </c>
      <c r="K11" s="832">
        <v>-70.980006679891858</v>
      </c>
      <c r="L11" s="833">
        <v>9709</v>
      </c>
      <c r="M11" s="832">
        <v>162.7649590299612</v>
      </c>
      <c r="N11" s="832">
        <v>112.34020942101738</v>
      </c>
      <c r="O11" s="832">
        <v>108.31195500898885</v>
      </c>
      <c r="P11" s="834">
        <v>0.66647398229444466</v>
      </c>
      <c r="Q11" s="834">
        <v>0.62721782202546728</v>
      </c>
      <c r="R11" s="832">
        <v>1899588.24</v>
      </c>
      <c r="S11" s="847">
        <v>1347670.9400000002</v>
      </c>
      <c r="T11" s="848">
        <v>2.4964332045449764E-2</v>
      </c>
      <c r="U11" s="848">
        <v>2.097911060985326E-2</v>
      </c>
      <c r="V11" s="848">
        <v>1.051254416306247E-2</v>
      </c>
      <c r="W11" s="848">
        <v>0.27085499229229604</v>
      </c>
      <c r="X11" s="838">
        <v>551917.30000000005</v>
      </c>
      <c r="Y11" s="836">
        <v>35.473134984263019</v>
      </c>
      <c r="Z11" s="836">
        <v>27.454712755314262</v>
      </c>
      <c r="AA11" s="836">
        <v>136.74929728812157</v>
      </c>
      <c r="AB11" s="834">
        <v>0.88567626865693605</v>
      </c>
      <c r="AC11"/>
      <c r="AD11"/>
      <c r="AE11"/>
      <c r="AF11"/>
      <c r="AG11"/>
      <c r="AH11"/>
      <c r="AI11"/>
      <c r="AJ11"/>
      <c r="AK11"/>
      <c r="AL11"/>
      <c r="AM11"/>
      <c r="AN11"/>
      <c r="BP11" s="289">
        <v>101118.09985459411</v>
      </c>
    </row>
    <row r="12" spans="1:68" x14ac:dyDescent="0.2">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BP12" s="289">
        <v>28878</v>
      </c>
    </row>
    <row r="13" spans="1:68"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row>
    <row r="14" spans="1:68"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row>
    <row r="15" spans="1:68"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row>
    <row r="16" spans="1:68"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row>
    <row r="17" spans="1:40"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row>
    <row r="18" spans="1:40"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row>
    <row r="19" spans="1:40"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row>
    <row r="20" spans="1:40"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row>
    <row r="21" spans="1:40"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row>
    <row r="22" spans="1:40"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row>
    <row r="23" spans="1:40"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row>
    <row r="24" spans="1:40"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row>
    <row r="25" spans="1:40"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row>
    <row r="26" spans="1:40"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row>
    <row r="27" spans="1:40"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row>
    <row r="28" spans="1:40"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row>
    <row r="29" spans="1:40"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row>
    <row r="30" spans="1:40"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row>
    <row r="31" spans="1:40"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row>
    <row r="32" spans="1:40"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row>
    <row r="33" spans="1:40"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row>
    <row r="34" spans="1:40"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row>
    <row r="35" spans="1:40"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row>
    <row r="36" spans="1:40"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row>
    <row r="37" spans="1:40"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row>
    <row r="38" spans="1:40"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row>
    <row r="39" spans="1:40"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row>
    <row r="40" spans="1:40"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row>
    <row r="41" spans="1:40"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row>
    <row r="42" spans="1:40"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row>
    <row r="43" spans="1:40"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row>
    <row r="44" spans="1:40"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row>
    <row r="45" spans="1:40"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row>
    <row r="46" spans="1:40"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row>
    <row r="47" spans="1:40"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row>
    <row r="48" spans="1:40"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row>
    <row r="49" spans="1:40"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row>
    <row r="50" spans="1:40"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row>
    <row r="51" spans="1:40"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row>
    <row r="52" spans="1:40"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row>
    <row r="53" spans="1:40"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row r="61" spans="1:40"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row>
    <row r="62" spans="1:40"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row>
    <row r="63" spans="1:40"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row>
    <row r="64" spans="1:40"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row>
    <row r="65" spans="1:40"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row>
    <row r="66" spans="1:40"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row>
    <row r="67" spans="1:40"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row>
    <row r="68" spans="1:40"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row>
    <row r="69" spans="1:40"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row>
    <row r="70" spans="1:40"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row>
    <row r="71" spans="1:40"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1:40"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1:40"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1:40"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1:40"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1:40"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1:40"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1:40"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row r="79" spans="1:40"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row>
    <row r="80" spans="1:40"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row>
    <row r="81" spans="1:40"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row>
    <row r="82" spans="1:40"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row>
    <row r="83" spans="1:40"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row>
    <row r="84" spans="1:40"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row>
    <row r="85" spans="1:40"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row>
    <row r="86" spans="1:40"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row>
    <row r="87" spans="1:40"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row>
    <row r="88" spans="1:40"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row>
    <row r="89" spans="1:40"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row>
    <row r="90" spans="1:40"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row>
    <row r="97" spans="1:40"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row>
    <row r="98" spans="1:40"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row>
    <row r="99" spans="1:40"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row>
    <row r="100" spans="1:40"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row>
    <row r="103" spans="1:40"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row>
    <row r="104" spans="1:40"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row>
    <row r="105" spans="1:40"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row>
    <row r="106" spans="1:40"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row>
    <row r="107" spans="1:40"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row>
    <row r="108" spans="1:40"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row>
    <row r="109" spans="1:40"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row>
    <row r="110" spans="1:40"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row>
    <row r="111" spans="1:40"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row>
    <row r="112" spans="1:40"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row>
    <row r="113" spans="1:40"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row r="152" spans="1:40"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row>
    <row r="153" spans="1:40"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row>
    <row r="154" spans="1:40"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row>
    <row r="155" spans="1:40"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row>
    <row r="156" spans="1:40"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row>
    <row r="157" spans="1:40"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row>
    <row r="158" spans="1:40"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row>
    <row r="159" spans="1:40"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row>
    <row r="160" spans="1:40"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row>
    <row r="161" spans="1:40"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row>
    <row r="162" spans="1:40"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row>
    <row r="163" spans="1:40"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row>
    <row r="164" spans="1:40"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row>
    <row r="165" spans="1:40"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row>
    <row r="166" spans="1:40"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row>
    <row r="167" spans="1:40"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row>
    <row r="168" spans="1:40"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row>
    <row r="169" spans="1:40"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row>
    <row r="170" spans="1:40"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row>
    <row r="171" spans="1:40"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row>
    <row r="172" spans="1:40"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row>
    <row r="173" spans="1:40"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row>
    <row r="174" spans="1:40"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row>
    <row r="175" spans="1:40"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row>
  </sheetData>
  <pageMargins left="0.7" right="0.7" top="0.75" bottom="0.75" header="0.3" footer="0.3"/>
  <pageSetup scale="44" orientation="landscape"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7"/>
  <sheetViews>
    <sheetView showGridLines="0" workbookViewId="0">
      <pane ySplit="1" topLeftCell="A2" activePane="bottomLeft" state="frozen"/>
      <selection pane="bottomLeft"/>
    </sheetView>
  </sheetViews>
  <sheetFormatPr defaultRowHeight="12.75" x14ac:dyDescent="0.2"/>
  <cols>
    <col min="1" max="1" width="9" bestFit="1" customWidth="1"/>
    <col min="2" max="2" width="7.85546875" bestFit="1" customWidth="1"/>
    <col min="3" max="3" width="9.5703125" bestFit="1" customWidth="1"/>
    <col min="4" max="4" width="13.42578125" style="340" customWidth="1"/>
    <col min="5" max="5" width="11.7109375" style="340" customWidth="1"/>
    <col min="6" max="10" width="13.42578125" style="340" customWidth="1"/>
    <col min="11" max="11" width="11.42578125" customWidth="1"/>
    <col min="12" max="12" width="13.42578125" style="340" customWidth="1"/>
    <col min="13" max="13" width="11.42578125" style="340" customWidth="1"/>
    <col min="14" max="14" width="10.7109375" style="355" customWidth="1"/>
    <col min="15" max="16" width="8" customWidth="1"/>
    <col min="17" max="17" width="9.42578125" bestFit="1" customWidth="1"/>
    <col min="18" max="18" width="9.7109375" bestFit="1" customWidth="1"/>
    <col min="19" max="19" width="9.7109375" customWidth="1"/>
    <col min="20" max="20" width="11.42578125" customWidth="1"/>
    <col min="21" max="21" width="13.42578125" customWidth="1"/>
    <col min="22" max="22" width="11.7109375" customWidth="1"/>
    <col min="23" max="23" width="7.85546875" customWidth="1"/>
    <col min="24" max="24" width="11.7109375" customWidth="1"/>
    <col min="25" max="25" width="7.85546875" customWidth="1"/>
    <col min="26" max="26" width="10.7109375" customWidth="1"/>
    <col min="27" max="27" width="7.85546875" customWidth="1"/>
    <col min="28" max="28" width="11.7109375" customWidth="1"/>
    <col min="29" max="29" width="10.28515625" bestFit="1" customWidth="1"/>
    <col min="30" max="30" width="13.42578125" style="340" customWidth="1"/>
    <col min="31" max="31" width="10.42578125" customWidth="1"/>
    <col min="32" max="32" width="7.85546875" customWidth="1"/>
    <col min="33" max="33" width="11.7109375" customWidth="1"/>
    <col min="34" max="34" width="7.85546875" customWidth="1"/>
    <col min="35" max="35" width="11.7109375" customWidth="1"/>
    <col min="36" max="36" width="7.85546875" customWidth="1"/>
    <col min="37" max="37" width="11.42578125" customWidth="1"/>
    <col min="38" max="38" width="10.28515625" bestFit="1" customWidth="1"/>
    <col min="39" max="40" width="7.85546875" style="345" customWidth="1"/>
    <col min="41" max="41" width="7.85546875" style="345" bestFit="1" customWidth="1"/>
    <col min="42" max="42" width="8.7109375" style="346" bestFit="1" customWidth="1"/>
  </cols>
  <sheetData>
    <row r="1" spans="1:42" ht="123.75" x14ac:dyDescent="0.2">
      <c r="A1" s="640" t="s">
        <v>158</v>
      </c>
      <c r="B1" s="641" t="s">
        <v>148</v>
      </c>
      <c r="C1" s="641" t="s">
        <v>150</v>
      </c>
      <c r="D1" s="642" t="s">
        <v>139</v>
      </c>
      <c r="E1" s="642" t="s">
        <v>140</v>
      </c>
      <c r="F1" s="642" t="s">
        <v>149</v>
      </c>
      <c r="G1" s="642" t="s">
        <v>141</v>
      </c>
      <c r="H1" s="642" t="s">
        <v>143</v>
      </c>
      <c r="I1" s="642" t="s">
        <v>142</v>
      </c>
      <c r="J1" s="642" t="s">
        <v>5</v>
      </c>
      <c r="K1" s="642" t="s">
        <v>6</v>
      </c>
      <c r="L1" s="642" t="s">
        <v>7</v>
      </c>
      <c r="M1" s="642" t="s">
        <v>8</v>
      </c>
      <c r="N1" s="643" t="s">
        <v>9</v>
      </c>
      <c r="O1" s="644" t="s">
        <v>210</v>
      </c>
      <c r="P1" s="645" t="s">
        <v>157</v>
      </c>
      <c r="Q1" s="645" t="s">
        <v>211</v>
      </c>
      <c r="R1" s="645" t="s">
        <v>11</v>
      </c>
      <c r="S1" s="645" t="s">
        <v>12</v>
      </c>
      <c r="T1" s="645" t="s">
        <v>13</v>
      </c>
      <c r="U1" s="646" t="s">
        <v>159</v>
      </c>
      <c r="V1" s="647" t="s">
        <v>278</v>
      </c>
      <c r="W1" s="647" t="s">
        <v>21</v>
      </c>
      <c r="X1" s="647" t="s">
        <v>279</v>
      </c>
      <c r="Y1" s="647" t="s">
        <v>264</v>
      </c>
      <c r="Z1" s="647" t="s">
        <v>280</v>
      </c>
      <c r="AA1" s="647" t="s">
        <v>265</v>
      </c>
      <c r="AB1" s="647" t="s">
        <v>281</v>
      </c>
      <c r="AC1" s="647" t="s">
        <v>266</v>
      </c>
      <c r="AD1" s="646" t="s">
        <v>160</v>
      </c>
      <c r="AE1" s="647" t="s">
        <v>282</v>
      </c>
      <c r="AF1" s="647" t="s">
        <v>267</v>
      </c>
      <c r="AG1" s="647" t="s">
        <v>283</v>
      </c>
      <c r="AH1" s="647" t="s">
        <v>268</v>
      </c>
      <c r="AI1" s="647" t="s">
        <v>284</v>
      </c>
      <c r="AJ1" s="647" t="s">
        <v>269</v>
      </c>
      <c r="AK1" s="648" t="s">
        <v>285</v>
      </c>
      <c r="AL1" s="648" t="s">
        <v>270</v>
      </c>
      <c r="AM1" s="649" t="s">
        <v>17</v>
      </c>
      <c r="AN1" s="649" t="s">
        <v>18</v>
      </c>
      <c r="AO1" s="649" t="s">
        <v>154</v>
      </c>
      <c r="AP1" s="650" t="s">
        <v>155</v>
      </c>
    </row>
    <row r="2" spans="1:42" x14ac:dyDescent="0.2">
      <c r="A2" s="638">
        <v>42385</v>
      </c>
      <c r="B2" s="341" t="s">
        <v>133</v>
      </c>
      <c r="C2" s="351" t="s">
        <v>161</v>
      </c>
      <c r="D2" s="342">
        <v>0</v>
      </c>
      <c r="E2" s="342">
        <v>0</v>
      </c>
      <c r="F2" s="342">
        <v>0</v>
      </c>
      <c r="G2" s="342">
        <v>305.230005264282</v>
      </c>
      <c r="H2" s="342">
        <v>213.51000595092799</v>
      </c>
      <c r="I2" s="342">
        <v>91.719999313354506</v>
      </c>
      <c r="J2" s="342">
        <v>72.019996643066406</v>
      </c>
      <c r="K2" s="343">
        <v>233.2100086212161</v>
      </c>
      <c r="L2" s="342">
        <v>147.28999328613301</v>
      </c>
      <c r="M2" s="342">
        <v>0</v>
      </c>
      <c r="N2" s="354">
        <v>0</v>
      </c>
      <c r="O2" s="343" t="s">
        <v>311</v>
      </c>
      <c r="P2" s="343" t="s">
        <v>311</v>
      </c>
      <c r="Q2" s="343" t="s">
        <v>311</v>
      </c>
      <c r="R2" s="344" t="s">
        <v>312</v>
      </c>
      <c r="S2" s="344">
        <v>-1.3917742888174904</v>
      </c>
      <c r="T2" s="343">
        <v>40983.659999999996</v>
      </c>
      <c r="U2" s="342">
        <v>308.63</v>
      </c>
      <c r="V2" s="342">
        <v>403.23</v>
      </c>
      <c r="W2" s="344">
        <v>0</v>
      </c>
      <c r="X2" s="342">
        <v>-94.6</v>
      </c>
      <c r="Y2" s="344">
        <v>0</v>
      </c>
      <c r="Z2" s="342">
        <v>0</v>
      </c>
      <c r="AA2" s="344">
        <f t="shared" ref="AA2:AA65" si="0">IFERROR(Z2/U2,"0.00"%)</f>
        <v>0</v>
      </c>
      <c r="AB2" s="342">
        <v>0</v>
      </c>
      <c r="AC2" s="344">
        <f t="shared" ref="AC2:AC65" si="1">IFERROR(AB2/U2,"0.00%")</f>
        <v>0</v>
      </c>
      <c r="AD2" s="342">
        <v>40675.03</v>
      </c>
      <c r="AE2" s="342">
        <v>21.8</v>
      </c>
      <c r="AF2" s="344">
        <f t="shared" ref="AF2:AF65" si="2">IFERROR(AE2/AD2,"0.00%")</f>
        <v>5.3595535147730685E-4</v>
      </c>
      <c r="AG2" s="342">
        <v>14.7</v>
      </c>
      <c r="AH2" s="344">
        <f t="shared" ref="AH2:AH65" si="3">IFERROR(AG2/AD2,"0.00%")</f>
        <v>3.6140108562919315E-4</v>
      </c>
      <c r="AI2" s="342">
        <v>1419.13</v>
      </c>
      <c r="AJ2" s="344">
        <f t="shared" ref="AJ2:AJ65" si="4">IFERROR(AI2/AD2,"0.00"%)</f>
        <v>3.4889464125779382E-2</v>
      </c>
      <c r="AK2" s="342">
        <v>5907.73</v>
      </c>
      <c r="AL2" s="784">
        <f t="shared" ref="AL2:AL65" si="5">IFERROR(AK2/AD2,"0.00%")</f>
        <v>0.14524217929279953</v>
      </c>
      <c r="AM2" s="350" t="s">
        <v>313</v>
      </c>
      <c r="AN2" s="350" t="s">
        <v>313</v>
      </c>
      <c r="AO2" s="350" t="s">
        <v>313</v>
      </c>
      <c r="AP2" s="639">
        <f t="shared" ref="AP2:AP65" si="6">IFERROR(J2/(D2-L2-M2),"0.00%")</f>
        <v>-0.48896734283337706</v>
      </c>
    </row>
    <row r="3" spans="1:42" x14ac:dyDescent="0.2">
      <c r="A3" s="638">
        <v>42385</v>
      </c>
      <c r="B3" s="341" t="s">
        <v>133</v>
      </c>
      <c r="C3" s="351" t="s">
        <v>162</v>
      </c>
      <c r="D3" s="342">
        <v>188269.43998540787</v>
      </c>
      <c r="E3" s="342">
        <v>9054</v>
      </c>
      <c r="F3" s="342">
        <v>179215.43998540787</v>
      </c>
      <c r="G3" s="342">
        <v>131286.75998712488</v>
      </c>
      <c r="H3" s="342">
        <v>76628.880007505388</v>
      </c>
      <c r="I3" s="342">
        <v>54657.8799796198</v>
      </c>
      <c r="J3" s="342">
        <v>3687.4600021839101</v>
      </c>
      <c r="K3" s="343">
        <v>127599.29998494126</v>
      </c>
      <c r="L3" s="342">
        <v>57215.94013413597</v>
      </c>
      <c r="M3" s="342">
        <v>2854.9600019455002</v>
      </c>
      <c r="N3" s="354">
        <v>997</v>
      </c>
      <c r="O3" s="343">
        <v>188.83594782889455</v>
      </c>
      <c r="P3" s="343">
        <v>128.58429272750891</v>
      </c>
      <c r="Q3" s="343">
        <v>131.68180540333518</v>
      </c>
      <c r="R3" s="344">
        <v>0.69733441602259383</v>
      </c>
      <c r="S3" s="344">
        <v>1.0544182907119666</v>
      </c>
      <c r="T3" s="343">
        <v>177458.7</v>
      </c>
      <c r="U3" s="342">
        <v>141158.47</v>
      </c>
      <c r="V3" s="342">
        <v>3610.5</v>
      </c>
      <c r="W3" s="344">
        <f t="shared" ref="W3:W66" si="7">IFERROR(V3/U3,"0.00%")</f>
        <v>2.5577636255196021E-2</v>
      </c>
      <c r="X3" s="342">
        <v>24232.34</v>
      </c>
      <c r="Y3" s="344">
        <f t="shared" ref="Y3:Y66" si="8">IFERROR(X3/U3,"0.00%")</f>
        <v>0.17166763000477406</v>
      </c>
      <c r="Z3" s="342">
        <v>5452.35</v>
      </c>
      <c r="AA3" s="344">
        <f t="shared" si="0"/>
        <v>3.8625737442464489E-2</v>
      </c>
      <c r="AB3" s="342">
        <v>2330</v>
      </c>
      <c r="AC3" s="344">
        <f t="shared" si="1"/>
        <v>1.650627128503164E-2</v>
      </c>
      <c r="AD3" s="342">
        <f>SUM(AE3,AG3,AI3,AK3)</f>
        <v>149715.09999999998</v>
      </c>
      <c r="AE3" s="342">
        <v>5758.37</v>
      </c>
      <c r="AF3" s="344">
        <f t="shared" si="2"/>
        <v>3.8462185844981574E-2</v>
      </c>
      <c r="AG3" s="342">
        <v>5701.98</v>
      </c>
      <c r="AH3" s="344">
        <f t="shared" si="3"/>
        <v>3.8085537130189279E-2</v>
      </c>
      <c r="AI3" s="342">
        <v>4385.04</v>
      </c>
      <c r="AJ3" s="344">
        <f t="shared" si="4"/>
        <v>2.928923001086731E-2</v>
      </c>
      <c r="AK3" s="342">
        <v>133869.71</v>
      </c>
      <c r="AL3" s="784" t="e">
        <f>#REF!/#REF!</f>
        <v>#REF!</v>
      </c>
      <c r="AM3" s="350">
        <v>28.277350803256372</v>
      </c>
      <c r="AN3" s="350">
        <v>23.629404365744399</v>
      </c>
      <c r="AO3" s="350">
        <v>120.27909211398276</v>
      </c>
      <c r="AP3" s="639">
        <f t="shared" si="6"/>
        <v>2.8763666158115649E-2</v>
      </c>
    </row>
    <row r="4" spans="1:42" x14ac:dyDescent="0.2">
      <c r="A4" s="638">
        <v>42385</v>
      </c>
      <c r="B4" s="341" t="s">
        <v>133</v>
      </c>
      <c r="C4" s="351" t="s">
        <v>163</v>
      </c>
      <c r="D4" s="342">
        <v>0</v>
      </c>
      <c r="E4" s="342">
        <v>0</v>
      </c>
      <c r="F4" s="342">
        <v>0</v>
      </c>
      <c r="G4" s="342">
        <v>459.27999687194801</v>
      </c>
      <c r="H4" s="342">
        <v>62.389999389648402</v>
      </c>
      <c r="I4" s="342">
        <v>396.88999748229998</v>
      </c>
      <c r="J4" s="342">
        <v>72.019996643066406</v>
      </c>
      <c r="K4" s="343">
        <v>387.26000022888195</v>
      </c>
      <c r="L4" s="342">
        <v>120.610000610352</v>
      </c>
      <c r="M4" s="342">
        <v>438</v>
      </c>
      <c r="N4" s="354">
        <v>0</v>
      </c>
      <c r="O4" s="343" t="s">
        <v>311</v>
      </c>
      <c r="P4" s="343" t="s">
        <v>311</v>
      </c>
      <c r="Q4" s="343" t="s">
        <v>311</v>
      </c>
      <c r="R4" s="344" t="s">
        <v>312</v>
      </c>
      <c r="S4" s="344">
        <v>-0.72828758364215085</v>
      </c>
      <c r="T4" s="343">
        <v>51414.790000000008</v>
      </c>
      <c r="U4" s="342">
        <v>581</v>
      </c>
      <c r="V4" s="342">
        <v>65</v>
      </c>
      <c r="W4" s="344">
        <f t="shared" si="7"/>
        <v>0.11187607573149742</v>
      </c>
      <c r="X4" s="342">
        <v>516</v>
      </c>
      <c r="Y4" s="344">
        <f t="shared" si="8"/>
        <v>0.88812392426850262</v>
      </c>
      <c r="Z4" s="342">
        <v>0</v>
      </c>
      <c r="AA4" s="344">
        <f t="shared" si="0"/>
        <v>0</v>
      </c>
      <c r="AB4" s="342">
        <v>0</v>
      </c>
      <c r="AC4" s="344">
        <f t="shared" si="1"/>
        <v>0</v>
      </c>
      <c r="AD4" s="342">
        <v>50833.790000000008</v>
      </c>
      <c r="AE4" s="342">
        <v>43.6</v>
      </c>
      <c r="AF4" s="344">
        <f t="shared" si="2"/>
        <v>8.5769721281848141E-4</v>
      </c>
      <c r="AG4" s="342">
        <v>63.45</v>
      </c>
      <c r="AH4" s="344">
        <f t="shared" si="3"/>
        <v>1.2481855081039599E-3</v>
      </c>
      <c r="AI4" s="342">
        <v>198.85</v>
      </c>
      <c r="AJ4" s="344">
        <f t="shared" si="4"/>
        <v>3.911768136902638E-3</v>
      </c>
      <c r="AK4" s="342">
        <v>7231.52</v>
      </c>
      <c r="AL4" s="784">
        <f t="shared" si="5"/>
        <v>0.14225813184497949</v>
      </c>
      <c r="AM4" s="350" t="s">
        <v>313</v>
      </c>
      <c r="AN4" s="350" t="s">
        <v>313</v>
      </c>
      <c r="AO4" s="350" t="s">
        <v>313</v>
      </c>
      <c r="AP4" s="639">
        <f t="shared" si="6"/>
        <v>-0.12892715233235255</v>
      </c>
    </row>
    <row r="5" spans="1:42" x14ac:dyDescent="0.2">
      <c r="A5" s="638">
        <v>42385</v>
      </c>
      <c r="B5" s="341" t="s">
        <v>133</v>
      </c>
      <c r="C5" s="351" t="s">
        <v>164</v>
      </c>
      <c r="D5" s="342">
        <v>176811.279999461</v>
      </c>
      <c r="E5" s="342">
        <v>15969</v>
      </c>
      <c r="F5" s="342">
        <v>160842.279999461</v>
      </c>
      <c r="G5" s="342">
        <v>121137.14990941199</v>
      </c>
      <c r="H5" s="342">
        <v>58710.489925332397</v>
      </c>
      <c r="I5" s="342">
        <v>62426.659984080099</v>
      </c>
      <c r="J5" s="342">
        <v>3768.8500070571899</v>
      </c>
      <c r="K5" s="343">
        <v>117368.2999023553</v>
      </c>
      <c r="L5" s="342">
        <v>51977.800070695601</v>
      </c>
      <c r="M5" s="342">
        <v>1450.75999832153</v>
      </c>
      <c r="N5" s="354">
        <v>954</v>
      </c>
      <c r="O5" s="343">
        <v>185.3367714879046</v>
      </c>
      <c r="P5" s="343">
        <v>129.33199154134576</v>
      </c>
      <c r="Q5" s="343">
        <v>126.97814455913259</v>
      </c>
      <c r="R5" s="344">
        <v>0.68512116370506326</v>
      </c>
      <c r="S5" s="344">
        <v>1.0127349778667096</v>
      </c>
      <c r="T5" s="343">
        <v>198279.32</v>
      </c>
      <c r="U5" s="342">
        <v>125717.53</v>
      </c>
      <c r="V5" s="342">
        <v>6042.41</v>
      </c>
      <c r="W5" s="344">
        <f t="shared" si="7"/>
        <v>4.8063384636971469E-2</v>
      </c>
      <c r="X5" s="342">
        <v>21071.599999999999</v>
      </c>
      <c r="Y5" s="344">
        <f t="shared" si="8"/>
        <v>0.16761067450179779</v>
      </c>
      <c r="Z5" s="342">
        <v>4306.37</v>
      </c>
      <c r="AA5" s="344">
        <f t="shared" si="0"/>
        <v>3.425433191377527E-2</v>
      </c>
      <c r="AB5" s="342">
        <v>8988.3799999999992</v>
      </c>
      <c r="AC5" s="344">
        <f t="shared" si="1"/>
        <v>7.1496632172140182E-2</v>
      </c>
      <c r="AD5" s="342">
        <v>72561.790000000008</v>
      </c>
      <c r="AE5" s="342">
        <v>6366.55</v>
      </c>
      <c r="AF5" s="344">
        <f t="shared" si="2"/>
        <v>8.7739704326478152E-2</v>
      </c>
      <c r="AG5" s="342">
        <v>4932.5200000000004</v>
      </c>
      <c r="AH5" s="344">
        <f t="shared" si="3"/>
        <v>6.7976823614742693E-2</v>
      </c>
      <c r="AI5" s="342">
        <v>4115.6400000000003</v>
      </c>
      <c r="AJ5" s="344">
        <f t="shared" si="4"/>
        <v>5.6719107949238845E-2</v>
      </c>
      <c r="AK5" s="342">
        <v>38349.879999999997</v>
      </c>
      <c r="AL5" s="784">
        <f t="shared" si="5"/>
        <v>0.52851342283590297</v>
      </c>
      <c r="AM5" s="350">
        <v>33.642534571426289</v>
      </c>
      <c r="AN5" s="350">
        <v>23.448597595188524</v>
      </c>
      <c r="AO5" s="350">
        <v>136.3174713507421</v>
      </c>
      <c r="AP5" s="639">
        <f t="shared" si="6"/>
        <v>3.0546011703922987E-2</v>
      </c>
    </row>
    <row r="6" spans="1:42" x14ac:dyDescent="0.2">
      <c r="A6" s="638">
        <v>42385</v>
      </c>
      <c r="B6" s="341" t="s">
        <v>133</v>
      </c>
      <c r="C6" s="351" t="s">
        <v>165</v>
      </c>
      <c r="D6" s="342">
        <v>0</v>
      </c>
      <c r="E6" s="342">
        <v>0</v>
      </c>
      <c r="F6" s="342">
        <v>0</v>
      </c>
      <c r="G6" s="342">
        <v>10.2399997711182</v>
      </c>
      <c r="H6" s="342">
        <v>0</v>
      </c>
      <c r="I6" s="342">
        <v>10.2399997711182</v>
      </c>
      <c r="J6" s="342">
        <v>0</v>
      </c>
      <c r="K6" s="343">
        <v>10.2399997711182</v>
      </c>
      <c r="L6" s="342">
        <v>0</v>
      </c>
      <c r="M6" s="342">
        <v>1160.2100067138699</v>
      </c>
      <c r="N6" s="354">
        <v>0</v>
      </c>
      <c r="O6" s="343" t="s">
        <v>311</v>
      </c>
      <c r="P6" s="343" t="s">
        <v>311</v>
      </c>
      <c r="Q6" s="343" t="s">
        <v>311</v>
      </c>
      <c r="R6" s="344" t="s">
        <v>312</v>
      </c>
      <c r="S6" s="344">
        <v>-8.8259881503018108E-3</v>
      </c>
      <c r="T6" s="343">
        <v>69991.42</v>
      </c>
      <c r="U6" s="342">
        <v>1490.19</v>
      </c>
      <c r="V6" s="342">
        <v>0</v>
      </c>
      <c r="W6" s="344">
        <f t="shared" si="7"/>
        <v>0</v>
      </c>
      <c r="X6" s="342">
        <v>1490.19</v>
      </c>
      <c r="Y6" s="344">
        <f t="shared" si="8"/>
        <v>1</v>
      </c>
      <c r="Z6" s="342">
        <v>0</v>
      </c>
      <c r="AA6" s="344">
        <f t="shared" si="0"/>
        <v>0</v>
      </c>
      <c r="AB6" s="342">
        <v>0</v>
      </c>
      <c r="AC6" s="344">
        <f t="shared" si="1"/>
        <v>0</v>
      </c>
      <c r="AD6" s="342">
        <v>68501.23</v>
      </c>
      <c r="AE6" s="342">
        <v>0</v>
      </c>
      <c r="AF6" s="344">
        <f t="shared" si="2"/>
        <v>0</v>
      </c>
      <c r="AG6" s="342">
        <v>0</v>
      </c>
      <c r="AH6" s="344">
        <f t="shared" si="3"/>
        <v>0</v>
      </c>
      <c r="AI6" s="342">
        <v>0</v>
      </c>
      <c r="AJ6" s="344">
        <f t="shared" si="4"/>
        <v>0</v>
      </c>
      <c r="AK6" s="342">
        <v>2725.8</v>
      </c>
      <c r="AL6" s="784">
        <f t="shared" si="5"/>
        <v>3.9791986216889834E-2</v>
      </c>
      <c r="AM6" s="350" t="s">
        <v>313</v>
      </c>
      <c r="AN6" s="350" t="s">
        <v>313</v>
      </c>
      <c r="AO6" s="350" t="s">
        <v>313</v>
      </c>
      <c r="AP6" s="639">
        <f t="shared" si="6"/>
        <v>0</v>
      </c>
    </row>
    <row r="7" spans="1:42" x14ac:dyDescent="0.2">
      <c r="A7" s="638">
        <v>42385</v>
      </c>
      <c r="B7" s="341" t="s">
        <v>133</v>
      </c>
      <c r="C7" s="351" t="s">
        <v>166</v>
      </c>
      <c r="D7" s="342">
        <v>362916.28999997099</v>
      </c>
      <c r="E7" s="342">
        <v>18603.009999999798</v>
      </c>
      <c r="F7" s="342">
        <v>344313.27999997098</v>
      </c>
      <c r="G7" s="342">
        <v>223449.06979494201</v>
      </c>
      <c r="H7" s="342">
        <v>112819.949851561</v>
      </c>
      <c r="I7" s="342">
        <v>110629.11994338001</v>
      </c>
      <c r="J7" s="342">
        <v>8474.7799947261792</v>
      </c>
      <c r="K7" s="343">
        <v>214974.28980021481</v>
      </c>
      <c r="L7" s="342">
        <v>106767.790388465</v>
      </c>
      <c r="M7" s="342">
        <v>2166.3799991607698</v>
      </c>
      <c r="N7" s="354">
        <v>1826</v>
      </c>
      <c r="O7" s="343">
        <v>198.74933734938156</v>
      </c>
      <c r="P7" s="343">
        <v>139.09206988627875</v>
      </c>
      <c r="Q7" s="343">
        <v>122.37079397313308</v>
      </c>
      <c r="R7" s="344">
        <v>0.61570416085472213</v>
      </c>
      <c r="S7" s="344">
        <v>0.91015229989851265</v>
      </c>
      <c r="T7" s="343">
        <v>307470.32</v>
      </c>
      <c r="U7" s="342">
        <v>252224.57</v>
      </c>
      <c r="V7" s="342">
        <v>11811.14</v>
      </c>
      <c r="W7" s="344">
        <f t="shared" si="7"/>
        <v>4.6827872478878638E-2</v>
      </c>
      <c r="X7" s="342">
        <v>28847.02</v>
      </c>
      <c r="Y7" s="344">
        <f t="shared" si="8"/>
        <v>0.1143703803320985</v>
      </c>
      <c r="Z7" s="342">
        <v>12226.2</v>
      </c>
      <c r="AA7" s="344">
        <f t="shared" si="0"/>
        <v>4.8473469495854432E-2</v>
      </c>
      <c r="AB7" s="342">
        <v>2837.27</v>
      </c>
      <c r="AC7" s="344">
        <f t="shared" si="1"/>
        <v>1.1248983396026802E-2</v>
      </c>
      <c r="AD7" s="342">
        <f>SUM(AE7,AG7,AI7,AK7)</f>
        <v>219584.7</v>
      </c>
      <c r="AE7" s="342">
        <v>16624.38</v>
      </c>
      <c r="AF7" s="344">
        <f t="shared" si="2"/>
        <v>7.5708280221709431E-2</v>
      </c>
      <c r="AG7" s="342">
        <v>14423.63</v>
      </c>
      <c r="AH7" s="344">
        <f t="shared" si="3"/>
        <v>6.5685951707928639E-2</v>
      </c>
      <c r="AI7" s="342">
        <v>11886.44</v>
      </c>
      <c r="AJ7" s="344">
        <f t="shared" si="4"/>
        <v>5.4131458157148468E-2</v>
      </c>
      <c r="AK7" s="342">
        <v>176650.25</v>
      </c>
      <c r="AL7" s="784">
        <f t="shared" si="5"/>
        <v>0.80447430991321345</v>
      </c>
      <c r="AM7" s="350">
        <v>25.416631477194748</v>
      </c>
      <c r="AN7" s="350">
        <v>21.97631500010873</v>
      </c>
      <c r="AO7" s="350">
        <v>89.091630870489126</v>
      </c>
      <c r="AP7" s="639">
        <f t="shared" si="6"/>
        <v>3.3367624491288196E-2</v>
      </c>
    </row>
    <row r="8" spans="1:42" x14ac:dyDescent="0.2">
      <c r="A8" s="638">
        <v>42385</v>
      </c>
      <c r="B8" s="341" t="s">
        <v>133</v>
      </c>
      <c r="C8" s="351" t="s">
        <v>167</v>
      </c>
      <c r="D8" s="342">
        <v>0</v>
      </c>
      <c r="E8" s="342">
        <v>0</v>
      </c>
      <c r="F8" s="342">
        <v>0</v>
      </c>
      <c r="G8" s="342">
        <v>4053.1499996185298</v>
      </c>
      <c r="H8" s="342">
        <v>1476.5299949646001</v>
      </c>
      <c r="I8" s="342">
        <v>2576.6200046539302</v>
      </c>
      <c r="J8" s="342">
        <v>1032.05999717861</v>
      </c>
      <c r="K8" s="343">
        <v>3021.0900024399202</v>
      </c>
      <c r="L8" s="342">
        <v>1599.51999512315</v>
      </c>
      <c r="M8" s="342">
        <v>-290</v>
      </c>
      <c r="N8" s="354">
        <v>0</v>
      </c>
      <c r="O8" s="343" t="s">
        <v>311</v>
      </c>
      <c r="P8" s="343" t="s">
        <v>311</v>
      </c>
      <c r="Q8" s="343" t="s">
        <v>311</v>
      </c>
      <c r="R8" s="344" t="s">
        <v>312</v>
      </c>
      <c r="S8" s="344">
        <v>-1.7309466313103854</v>
      </c>
      <c r="T8" s="343">
        <v>77270.64</v>
      </c>
      <c r="U8" s="342">
        <v>4857.47</v>
      </c>
      <c r="V8" s="342">
        <v>923.34</v>
      </c>
      <c r="W8" s="344">
        <f t="shared" si="7"/>
        <v>0.19008660887252005</v>
      </c>
      <c r="X8" s="342">
        <v>2361.17</v>
      </c>
      <c r="Y8" s="344">
        <f t="shared" si="8"/>
        <v>0.48609049566955637</v>
      </c>
      <c r="Z8" s="342">
        <v>667.35</v>
      </c>
      <c r="AA8" s="344">
        <f t="shared" si="0"/>
        <v>0.13738633486156374</v>
      </c>
      <c r="AB8" s="342">
        <v>484</v>
      </c>
      <c r="AC8" s="344">
        <f t="shared" si="1"/>
        <v>9.9640347753048392E-2</v>
      </c>
      <c r="AD8" s="342">
        <v>72413.17</v>
      </c>
      <c r="AE8" s="342">
        <v>1672.7</v>
      </c>
      <c r="AF8" s="344">
        <f t="shared" si="2"/>
        <v>2.3099389240935041E-2</v>
      </c>
      <c r="AG8" s="342">
        <v>1986.99</v>
      </c>
      <c r="AH8" s="344">
        <f t="shared" si="3"/>
        <v>2.7439621825698281E-2</v>
      </c>
      <c r="AI8" s="342">
        <v>2658.92</v>
      </c>
      <c r="AJ8" s="344">
        <f t="shared" si="4"/>
        <v>3.6718735003591199E-2</v>
      </c>
      <c r="AK8" s="342">
        <v>7755.14</v>
      </c>
      <c r="AL8" s="784">
        <f t="shared" si="5"/>
        <v>0.10709571200929334</v>
      </c>
      <c r="AM8" s="350" t="s">
        <v>313</v>
      </c>
      <c r="AN8" s="350" t="s">
        <v>313</v>
      </c>
      <c r="AO8" s="350" t="s">
        <v>313</v>
      </c>
      <c r="AP8" s="639">
        <f t="shared" si="6"/>
        <v>-0.78812083895026963</v>
      </c>
    </row>
    <row r="9" spans="1:42" x14ac:dyDescent="0.2">
      <c r="A9" s="638">
        <v>42385</v>
      </c>
      <c r="B9" s="341" t="s">
        <v>133</v>
      </c>
      <c r="C9" s="351" t="s">
        <v>168</v>
      </c>
      <c r="D9" s="342">
        <v>0</v>
      </c>
      <c r="E9" s="342">
        <v>0</v>
      </c>
      <c r="F9" s="342">
        <v>0</v>
      </c>
      <c r="G9" s="342">
        <v>10</v>
      </c>
      <c r="H9" s="342">
        <v>0</v>
      </c>
      <c r="I9" s="342">
        <v>10</v>
      </c>
      <c r="J9" s="342">
        <v>80.690002441406307</v>
      </c>
      <c r="K9" s="343">
        <v>-70.690002441406307</v>
      </c>
      <c r="L9" s="342">
        <v>0</v>
      </c>
      <c r="M9" s="342">
        <v>0</v>
      </c>
      <c r="N9" s="354">
        <v>0</v>
      </c>
      <c r="O9" s="343" t="s">
        <v>311</v>
      </c>
      <c r="P9" s="343" t="s">
        <v>311</v>
      </c>
      <c r="Q9" s="343" t="s">
        <v>311</v>
      </c>
      <c r="R9" s="344" t="s">
        <v>312</v>
      </c>
      <c r="S9" s="344">
        <v>-0.12393109056182741</v>
      </c>
      <c r="T9" s="343">
        <v>28367.360000000001</v>
      </c>
      <c r="U9" s="342">
        <v>0</v>
      </c>
      <c r="V9" s="342">
        <v>0</v>
      </c>
      <c r="W9" s="344" t="str">
        <f t="shared" si="7"/>
        <v>0.00%</v>
      </c>
      <c r="X9" s="342">
        <v>0</v>
      </c>
      <c r="Y9" s="344" t="str">
        <f t="shared" si="8"/>
        <v>0.00%</v>
      </c>
      <c r="Z9" s="342">
        <v>0</v>
      </c>
      <c r="AA9" s="344">
        <f t="shared" si="0"/>
        <v>0</v>
      </c>
      <c r="AB9" s="342">
        <v>0</v>
      </c>
      <c r="AC9" s="344" t="str">
        <f t="shared" si="1"/>
        <v>0.00%</v>
      </c>
      <c r="AD9" s="342">
        <v>28367.360000000001</v>
      </c>
      <c r="AE9" s="342">
        <v>0</v>
      </c>
      <c r="AF9" s="344">
        <f t="shared" si="2"/>
        <v>0</v>
      </c>
      <c r="AG9" s="342">
        <v>0</v>
      </c>
      <c r="AH9" s="344">
        <f t="shared" si="3"/>
        <v>0</v>
      </c>
      <c r="AI9" s="342">
        <v>0</v>
      </c>
      <c r="AJ9" s="344">
        <f t="shared" si="4"/>
        <v>0</v>
      </c>
      <c r="AK9" s="342">
        <v>2740.67</v>
      </c>
      <c r="AL9" s="784">
        <f t="shared" si="5"/>
        <v>9.6613502278675212E-2</v>
      </c>
      <c r="AM9" s="350" t="s">
        <v>313</v>
      </c>
      <c r="AN9" s="350" t="s">
        <v>313</v>
      </c>
      <c r="AO9" s="350" t="s">
        <v>313</v>
      </c>
      <c r="AP9" s="639" t="str">
        <f t="shared" si="6"/>
        <v>0.00%</v>
      </c>
    </row>
    <row r="10" spans="1:42" x14ac:dyDescent="0.2">
      <c r="A10" s="638">
        <v>42385</v>
      </c>
      <c r="B10" s="341" t="s">
        <v>133</v>
      </c>
      <c r="C10" s="351" t="s">
        <v>169</v>
      </c>
      <c r="D10" s="342">
        <v>274853.87999943597</v>
      </c>
      <c r="E10" s="342">
        <v>13311</v>
      </c>
      <c r="F10" s="342">
        <v>261542.879999436</v>
      </c>
      <c r="G10" s="342">
        <v>170041.37976856501</v>
      </c>
      <c r="H10" s="342">
        <v>98760.519769787803</v>
      </c>
      <c r="I10" s="342">
        <v>71280.859998777494</v>
      </c>
      <c r="J10" s="342">
        <v>5450.5899953842199</v>
      </c>
      <c r="K10" s="343">
        <v>164590.78977318108</v>
      </c>
      <c r="L10" s="342">
        <v>93848.720161952093</v>
      </c>
      <c r="M10" s="342">
        <v>2053.02000427246</v>
      </c>
      <c r="N10" s="354">
        <v>1370</v>
      </c>
      <c r="O10" s="343">
        <v>200.62327007258099</v>
      </c>
      <c r="P10" s="343">
        <v>130.62199987825653</v>
      </c>
      <c r="Q10" s="343">
        <v>124.11779545150752</v>
      </c>
      <c r="R10" s="344">
        <v>0.6186610127858273</v>
      </c>
      <c r="S10" s="344">
        <v>0.98005683480927885</v>
      </c>
      <c r="T10" s="343">
        <v>233341.44</v>
      </c>
      <c r="U10" s="342">
        <v>207436.7</v>
      </c>
      <c r="V10" s="342">
        <v>5040.6499999999996</v>
      </c>
      <c r="W10" s="344">
        <f t="shared" si="7"/>
        <v>2.4299702029582999E-2</v>
      </c>
      <c r="X10" s="342">
        <v>25714.479999999996</v>
      </c>
      <c r="Y10" s="344">
        <f t="shared" si="8"/>
        <v>0.12396302100833649</v>
      </c>
      <c r="Z10" s="342">
        <v>5765.61</v>
      </c>
      <c r="AA10" s="344">
        <f t="shared" si="0"/>
        <v>2.7794551301674193E-2</v>
      </c>
      <c r="AB10" s="342">
        <v>5640.65</v>
      </c>
      <c r="AC10" s="344">
        <f t="shared" si="1"/>
        <v>2.7192150665721154E-2</v>
      </c>
      <c r="AD10" s="342">
        <f>SUM(AE10,AG10,AI10,AK10)</f>
        <v>174964.64</v>
      </c>
      <c r="AE10" s="342">
        <v>8328.2000000000007</v>
      </c>
      <c r="AF10" s="344">
        <f t="shared" si="2"/>
        <v>4.759933207075441E-2</v>
      </c>
      <c r="AG10" s="342">
        <v>5197.8500000000004</v>
      </c>
      <c r="AH10" s="344">
        <f t="shared" si="3"/>
        <v>2.9708002714148411E-2</v>
      </c>
      <c r="AI10" s="342">
        <v>7275.42</v>
      </c>
      <c r="AJ10" s="344">
        <f t="shared" si="4"/>
        <v>4.158223055812877E-2</v>
      </c>
      <c r="AK10" s="342">
        <v>154163.17000000001</v>
      </c>
      <c r="AL10" s="784">
        <f t="shared" si="5"/>
        <v>0.88111043465696837</v>
      </c>
      <c r="AM10" s="350">
        <v>25.468962635762555</v>
      </c>
      <c r="AN10" s="350">
        <v>23.793807730546593</v>
      </c>
      <c r="AO10" s="350">
        <v>58.383457290962355</v>
      </c>
      <c r="AP10" s="639">
        <f t="shared" si="6"/>
        <v>3.0458367250955073E-2</v>
      </c>
    </row>
    <row r="11" spans="1:42" x14ac:dyDescent="0.2">
      <c r="A11" s="638">
        <v>42385</v>
      </c>
      <c r="B11" s="341" t="s">
        <v>133</v>
      </c>
      <c r="C11" s="351" t="s">
        <v>170</v>
      </c>
      <c r="D11" s="342">
        <v>0</v>
      </c>
      <c r="E11" s="342">
        <v>0</v>
      </c>
      <c r="F11" s="342">
        <v>0</v>
      </c>
      <c r="G11" s="342">
        <v>0</v>
      </c>
      <c r="H11" s="342">
        <v>0</v>
      </c>
      <c r="I11" s="342">
        <v>0</v>
      </c>
      <c r="J11" s="342">
        <v>0</v>
      </c>
      <c r="K11" s="343">
        <v>0</v>
      </c>
      <c r="L11" s="342">
        <v>0</v>
      </c>
      <c r="M11" s="342">
        <v>0</v>
      </c>
      <c r="N11" s="354">
        <v>0</v>
      </c>
      <c r="O11" s="343" t="s">
        <v>311</v>
      </c>
      <c r="P11" s="343" t="s">
        <v>311</v>
      </c>
      <c r="Q11" s="343" t="s">
        <v>311</v>
      </c>
      <c r="R11" s="344" t="s">
        <v>312</v>
      </c>
      <c r="S11" s="344" t="s">
        <v>312</v>
      </c>
      <c r="T11" s="343">
        <v>35191.089999999997</v>
      </c>
      <c r="U11" s="342">
        <v>0</v>
      </c>
      <c r="V11" s="342">
        <v>0</v>
      </c>
      <c r="W11" s="344" t="str">
        <f t="shared" si="7"/>
        <v>0.00%</v>
      </c>
      <c r="X11" s="342">
        <v>0</v>
      </c>
      <c r="Y11" s="344" t="str">
        <f t="shared" si="8"/>
        <v>0.00%</v>
      </c>
      <c r="Z11" s="342">
        <v>0</v>
      </c>
      <c r="AA11" s="344">
        <f t="shared" si="0"/>
        <v>0</v>
      </c>
      <c r="AB11" s="342">
        <v>0</v>
      </c>
      <c r="AC11" s="344" t="str">
        <f t="shared" si="1"/>
        <v>0.00%</v>
      </c>
      <c r="AD11" s="342">
        <v>35191.089999999997</v>
      </c>
      <c r="AE11" s="342">
        <v>0</v>
      </c>
      <c r="AF11" s="344">
        <f t="shared" si="2"/>
        <v>0</v>
      </c>
      <c r="AG11" s="342">
        <v>0</v>
      </c>
      <c r="AH11" s="344">
        <f t="shared" si="3"/>
        <v>0</v>
      </c>
      <c r="AI11" s="342">
        <v>0</v>
      </c>
      <c r="AJ11" s="344">
        <f t="shared" si="4"/>
        <v>0</v>
      </c>
      <c r="AK11" s="342">
        <v>192.58</v>
      </c>
      <c r="AL11" s="784">
        <f t="shared" si="5"/>
        <v>5.4724079305301437E-3</v>
      </c>
      <c r="AM11" s="350" t="s">
        <v>313</v>
      </c>
      <c r="AN11" s="350" t="s">
        <v>313</v>
      </c>
      <c r="AO11" s="350" t="s">
        <v>313</v>
      </c>
      <c r="AP11" s="639" t="str">
        <f t="shared" si="6"/>
        <v>0.00%</v>
      </c>
    </row>
    <row r="12" spans="1:42" x14ac:dyDescent="0.2">
      <c r="A12" s="638">
        <v>42385</v>
      </c>
      <c r="B12" s="341" t="s">
        <v>133</v>
      </c>
      <c r="C12" s="351" t="s">
        <v>171</v>
      </c>
      <c r="D12" s="342">
        <v>246776.800001191</v>
      </c>
      <c r="E12" s="342">
        <v>11624</v>
      </c>
      <c r="F12" s="342">
        <v>235152.800001191</v>
      </c>
      <c r="G12" s="342">
        <v>156520.129747845</v>
      </c>
      <c r="H12" s="342">
        <v>94894.689750172198</v>
      </c>
      <c r="I12" s="342">
        <v>61625.439997672998</v>
      </c>
      <c r="J12" s="342">
        <v>4514.1500002145804</v>
      </c>
      <c r="K12" s="343">
        <v>152005.97974763063</v>
      </c>
      <c r="L12" s="342">
        <v>83221.580195337505</v>
      </c>
      <c r="M12" s="342">
        <v>2842.76000213623</v>
      </c>
      <c r="N12" s="354">
        <v>1403</v>
      </c>
      <c r="O12" s="343">
        <v>175.89223093456238</v>
      </c>
      <c r="P12" s="343">
        <v>114.5491516776317</v>
      </c>
      <c r="Q12" s="343">
        <v>111.56103331991818</v>
      </c>
      <c r="R12" s="344">
        <v>0.63425787897034813</v>
      </c>
      <c r="S12" s="344">
        <v>1.0020603292362598</v>
      </c>
      <c r="T12" s="343">
        <v>236243.44999999998</v>
      </c>
      <c r="U12" s="342">
        <v>204484.83</v>
      </c>
      <c r="V12" s="342">
        <v>13717.28</v>
      </c>
      <c r="W12" s="344">
        <f t="shared" si="7"/>
        <v>6.7082140029654042E-2</v>
      </c>
      <c r="X12" s="342">
        <v>27962.6</v>
      </c>
      <c r="Y12" s="344">
        <f t="shared" si="8"/>
        <v>0.13674657430578102</v>
      </c>
      <c r="Z12" s="342">
        <v>8895.43</v>
      </c>
      <c r="AA12" s="344">
        <f t="shared" si="0"/>
        <v>4.3501662201543265E-2</v>
      </c>
      <c r="AB12" s="342">
        <v>4850.6400000000003</v>
      </c>
      <c r="AC12" s="344">
        <f t="shared" si="1"/>
        <v>2.3721270668342492E-2</v>
      </c>
      <c r="AD12" s="342">
        <f>SUM(AE12,AG12,AI12,AK12)</f>
        <v>194177.96</v>
      </c>
      <c r="AE12" s="342">
        <v>7784.18</v>
      </c>
      <c r="AF12" s="344">
        <f t="shared" si="2"/>
        <v>4.0087865790741653E-2</v>
      </c>
      <c r="AG12" s="342">
        <v>7967.98</v>
      </c>
      <c r="AH12" s="344">
        <f t="shared" si="3"/>
        <v>4.1034420178273578E-2</v>
      </c>
      <c r="AI12" s="342">
        <v>6144</v>
      </c>
      <c r="AJ12" s="344">
        <f t="shared" si="4"/>
        <v>3.1641078112057623E-2</v>
      </c>
      <c r="AK12" s="342">
        <v>172281.8</v>
      </c>
      <c r="AL12" s="784">
        <f t="shared" si="5"/>
        <v>0.8872366359189271</v>
      </c>
      <c r="AM12" s="350">
        <v>28.719488622778943</v>
      </c>
      <c r="AN12" s="350">
        <v>26.087483967738972</v>
      </c>
      <c r="AO12" s="350">
        <v>81.964779766001385</v>
      </c>
      <c r="AP12" s="639">
        <f t="shared" si="6"/>
        <v>2.8088363563894429E-2</v>
      </c>
    </row>
    <row r="13" spans="1:42" x14ac:dyDescent="0.2">
      <c r="A13" s="638">
        <v>42385</v>
      </c>
      <c r="B13" s="341" t="s">
        <v>133</v>
      </c>
      <c r="C13" s="351" t="s">
        <v>172</v>
      </c>
      <c r="D13" s="342">
        <v>0</v>
      </c>
      <c r="E13" s="342">
        <v>0</v>
      </c>
      <c r="F13" s="342">
        <v>0</v>
      </c>
      <c r="G13" s="342">
        <v>0</v>
      </c>
      <c r="H13" s="342">
        <v>0</v>
      </c>
      <c r="I13" s="342">
        <v>0</v>
      </c>
      <c r="J13" s="342">
        <v>0</v>
      </c>
      <c r="K13" s="343">
        <v>0</v>
      </c>
      <c r="L13" s="342">
        <v>0</v>
      </c>
      <c r="M13" s="342">
        <v>939.52001953125</v>
      </c>
      <c r="N13" s="354">
        <v>0</v>
      </c>
      <c r="O13" s="343" t="s">
        <v>311</v>
      </c>
      <c r="P13" s="343" t="s">
        <v>311</v>
      </c>
      <c r="Q13" s="343" t="s">
        <v>311</v>
      </c>
      <c r="R13" s="344" t="s">
        <v>312</v>
      </c>
      <c r="S13" s="344">
        <v>0</v>
      </c>
      <c r="T13" s="343">
        <v>23573.29</v>
      </c>
      <c r="U13" s="342">
        <v>157</v>
      </c>
      <c r="V13" s="342">
        <v>0</v>
      </c>
      <c r="W13" s="344">
        <f t="shared" si="7"/>
        <v>0</v>
      </c>
      <c r="X13" s="342">
        <v>157</v>
      </c>
      <c r="Y13" s="344">
        <f t="shared" si="8"/>
        <v>1</v>
      </c>
      <c r="Z13" s="342">
        <v>0</v>
      </c>
      <c r="AA13" s="344">
        <f t="shared" si="0"/>
        <v>0</v>
      </c>
      <c r="AB13" s="342">
        <v>0</v>
      </c>
      <c r="AC13" s="344">
        <f t="shared" si="1"/>
        <v>0</v>
      </c>
      <c r="AD13" s="342">
        <v>23416.29</v>
      </c>
      <c r="AE13" s="342">
        <v>0</v>
      </c>
      <c r="AF13" s="344">
        <f t="shared" si="2"/>
        <v>0</v>
      </c>
      <c r="AG13" s="342">
        <v>0</v>
      </c>
      <c r="AH13" s="344">
        <f t="shared" si="3"/>
        <v>0</v>
      </c>
      <c r="AI13" s="342">
        <v>0</v>
      </c>
      <c r="AJ13" s="344">
        <f t="shared" si="4"/>
        <v>0</v>
      </c>
      <c r="AK13" s="342">
        <v>4398.88</v>
      </c>
      <c r="AL13" s="784">
        <f t="shared" si="5"/>
        <v>0.18785554842376823</v>
      </c>
      <c r="AM13" s="350" t="s">
        <v>313</v>
      </c>
      <c r="AN13" s="350" t="s">
        <v>313</v>
      </c>
      <c r="AO13" s="350" t="s">
        <v>313</v>
      </c>
      <c r="AP13" s="639">
        <f t="shared" si="6"/>
        <v>0</v>
      </c>
    </row>
    <row r="14" spans="1:42" x14ac:dyDescent="0.2">
      <c r="A14" s="638">
        <v>42385</v>
      </c>
      <c r="B14" s="341" t="s">
        <v>133</v>
      </c>
      <c r="C14" s="351" t="s">
        <v>173</v>
      </c>
      <c r="D14" s="342">
        <v>270554.89999998</v>
      </c>
      <c r="E14" s="342">
        <v>15217</v>
      </c>
      <c r="F14" s="342">
        <v>255337.89999998</v>
      </c>
      <c r="G14" s="342">
        <v>156046.61004394101</v>
      </c>
      <c r="H14" s="342">
        <v>82495.020017433897</v>
      </c>
      <c r="I14" s="342">
        <v>73551.590026507198</v>
      </c>
      <c r="J14" s="342">
        <v>4993.2299866862604</v>
      </c>
      <c r="K14" s="343">
        <v>151053.38005725484</v>
      </c>
      <c r="L14" s="342">
        <v>73855.280148219303</v>
      </c>
      <c r="M14" s="342">
        <v>1914.9199876785301</v>
      </c>
      <c r="N14" s="354">
        <v>1488</v>
      </c>
      <c r="O14" s="343">
        <v>181.82452956987902</v>
      </c>
      <c r="P14" s="343">
        <v>130.90369614521651</v>
      </c>
      <c r="Q14" s="343">
        <v>104.87003363168084</v>
      </c>
      <c r="R14" s="344">
        <v>0.57676504858700628</v>
      </c>
      <c r="S14" s="344">
        <v>0.82220033463435549</v>
      </c>
      <c r="T14" s="343">
        <v>243488.44</v>
      </c>
      <c r="U14" s="342">
        <v>227702.64</v>
      </c>
      <c r="V14" s="342">
        <v>8779.6200000000008</v>
      </c>
      <c r="W14" s="344">
        <f t="shared" si="7"/>
        <v>3.855739221995845E-2</v>
      </c>
      <c r="X14" s="342">
        <v>41680.93</v>
      </c>
      <c r="Y14" s="344">
        <f t="shared" si="8"/>
        <v>0.18304983200897451</v>
      </c>
      <c r="Z14" s="342">
        <v>11599.51</v>
      </c>
      <c r="AA14" s="344">
        <f t="shared" si="0"/>
        <v>5.0941482277060995E-2</v>
      </c>
      <c r="AB14" s="342">
        <v>6018.63</v>
      </c>
      <c r="AC14" s="344">
        <f t="shared" si="1"/>
        <v>2.6431972857231693E-2</v>
      </c>
      <c r="AD14" s="342">
        <f t="shared" ref="AD14:AD15" si="9">SUM(AE14,AG14,AI14,AK14)</f>
        <v>232356.03</v>
      </c>
      <c r="AE14" s="342">
        <v>12297.69</v>
      </c>
      <c r="AF14" s="344">
        <f t="shared" si="2"/>
        <v>5.2926063506938043E-2</v>
      </c>
      <c r="AG14" s="342">
        <v>6696.8</v>
      </c>
      <c r="AH14" s="344">
        <f t="shared" si="3"/>
        <v>2.8821287745362151E-2</v>
      </c>
      <c r="AI14" s="342">
        <v>8165.03</v>
      </c>
      <c r="AJ14" s="344">
        <f t="shared" si="4"/>
        <v>3.5140168301205699E-2</v>
      </c>
      <c r="AK14" s="342">
        <v>205196.51</v>
      </c>
      <c r="AL14" s="784">
        <f t="shared" si="5"/>
        <v>0.88311248044649415</v>
      </c>
      <c r="AM14" s="350">
        <v>26.998783611017728</v>
      </c>
      <c r="AN14" s="350">
        <v>26.753095408086836</v>
      </c>
      <c r="AO14" s="350">
        <v>31.121377406847603</v>
      </c>
      <c r="AP14" s="639">
        <f t="shared" si="6"/>
        <v>2.5634610881503841E-2</v>
      </c>
    </row>
    <row r="15" spans="1:42" x14ac:dyDescent="0.2">
      <c r="A15" s="638">
        <v>42385</v>
      </c>
      <c r="B15" s="341" t="s">
        <v>133</v>
      </c>
      <c r="C15" s="351" t="s">
        <v>174</v>
      </c>
      <c r="D15" s="342">
        <v>139324.92999999001</v>
      </c>
      <c r="E15" s="342">
        <v>7913</v>
      </c>
      <c r="F15" s="342">
        <v>131411.92999999001</v>
      </c>
      <c r="G15" s="342">
        <v>88975.919812351494</v>
      </c>
      <c r="H15" s="342">
        <v>45564.329833656499</v>
      </c>
      <c r="I15" s="342">
        <v>43411.589978694901</v>
      </c>
      <c r="J15" s="342">
        <v>3648.6200084686302</v>
      </c>
      <c r="K15" s="343">
        <v>85327.299803882779</v>
      </c>
      <c r="L15" s="342">
        <v>42870.320166885896</v>
      </c>
      <c r="M15" s="342">
        <v>1994.2799892425501</v>
      </c>
      <c r="N15" s="354">
        <v>860</v>
      </c>
      <c r="O15" s="343">
        <v>162.00573255812793</v>
      </c>
      <c r="P15" s="343">
        <v>109.83759284169949</v>
      </c>
      <c r="Q15" s="343">
        <v>103.46037187482722</v>
      </c>
      <c r="R15" s="344">
        <v>0.63862167246276591</v>
      </c>
      <c r="S15" s="344">
        <v>0.97978465523478064</v>
      </c>
      <c r="T15" s="343">
        <v>135550.63</v>
      </c>
      <c r="U15" s="342">
        <v>119804</v>
      </c>
      <c r="V15" s="342">
        <v>7091.22</v>
      </c>
      <c r="W15" s="344">
        <f t="shared" si="7"/>
        <v>5.9190177289572973E-2</v>
      </c>
      <c r="X15" s="342">
        <v>19825.47</v>
      </c>
      <c r="Y15" s="344">
        <f t="shared" si="8"/>
        <v>0.16548253814563788</v>
      </c>
      <c r="Z15" s="342">
        <v>4652.62</v>
      </c>
      <c r="AA15" s="344">
        <f t="shared" si="0"/>
        <v>3.8835264264966113E-2</v>
      </c>
      <c r="AB15" s="342">
        <v>2354.7199999999998</v>
      </c>
      <c r="AC15" s="344">
        <f t="shared" si="1"/>
        <v>1.9654769456779405E-2</v>
      </c>
      <c r="AD15" s="342">
        <f t="shared" si="9"/>
        <v>67333.7</v>
      </c>
      <c r="AE15" s="342">
        <v>8364.2999999999993</v>
      </c>
      <c r="AF15" s="344">
        <f t="shared" si="2"/>
        <v>0.12422160077346113</v>
      </c>
      <c r="AG15" s="342">
        <v>10323.209999999999</v>
      </c>
      <c r="AH15" s="344">
        <f t="shared" si="3"/>
        <v>0.153314165120883</v>
      </c>
      <c r="AI15" s="342">
        <v>6607.98</v>
      </c>
      <c r="AJ15" s="344">
        <f t="shared" si="4"/>
        <v>9.8137782418016531E-2</v>
      </c>
      <c r="AK15" s="342">
        <v>42038.21</v>
      </c>
      <c r="AL15" s="784">
        <f t="shared" si="5"/>
        <v>0.62432645168763934</v>
      </c>
      <c r="AM15" s="350">
        <v>29.187302660050086</v>
      </c>
      <c r="AN15" s="350">
        <v>27.350028266081118</v>
      </c>
      <c r="AO15" s="350">
        <v>59.699090104890686</v>
      </c>
      <c r="AP15" s="639">
        <f t="shared" si="6"/>
        <v>3.8625950327503891E-2</v>
      </c>
    </row>
    <row r="16" spans="1:42" x14ac:dyDescent="0.2">
      <c r="A16" s="638">
        <v>42385</v>
      </c>
      <c r="B16" s="341" t="s">
        <v>133</v>
      </c>
      <c r="C16" s="351" t="s">
        <v>175</v>
      </c>
      <c r="D16" s="342">
        <v>0</v>
      </c>
      <c r="E16" s="342">
        <v>0</v>
      </c>
      <c r="F16" s="342">
        <v>0</v>
      </c>
      <c r="G16" s="342">
        <v>8046.2800827026404</v>
      </c>
      <c r="H16" s="342">
        <v>5908.4200801849402</v>
      </c>
      <c r="I16" s="342">
        <v>2137.8600025177002</v>
      </c>
      <c r="J16" s="342">
        <v>945.790000915527</v>
      </c>
      <c r="K16" s="343">
        <v>7100.490081787113</v>
      </c>
      <c r="L16" s="342">
        <v>5424.6399926543199</v>
      </c>
      <c r="M16" s="342">
        <v>311.61999893188499</v>
      </c>
      <c r="N16" s="354">
        <v>0</v>
      </c>
      <c r="O16" s="343" t="s">
        <v>311</v>
      </c>
      <c r="P16" s="343" t="s">
        <v>311</v>
      </c>
      <c r="Q16" s="343" t="s">
        <v>311</v>
      </c>
      <c r="R16" s="344" t="s">
        <v>312</v>
      </c>
      <c r="S16" s="344">
        <v>-1.2041634066988096</v>
      </c>
      <c r="T16" s="343">
        <v>33542.14</v>
      </c>
      <c r="U16" s="342">
        <v>10714.24</v>
      </c>
      <c r="V16" s="342">
        <v>1819.85</v>
      </c>
      <c r="W16" s="344">
        <f t="shared" si="7"/>
        <v>0.16985339137446986</v>
      </c>
      <c r="X16" s="342">
        <v>5246.17</v>
      </c>
      <c r="Y16" s="344">
        <f t="shared" si="8"/>
        <v>0.48964462248372259</v>
      </c>
      <c r="Z16" s="342">
        <v>1307.98</v>
      </c>
      <c r="AA16" s="344">
        <f t="shared" si="0"/>
        <v>0.12207865420225793</v>
      </c>
      <c r="AB16" s="342">
        <v>828.59</v>
      </c>
      <c r="AC16" s="344">
        <f t="shared" si="1"/>
        <v>7.7335396631025635E-2</v>
      </c>
      <c r="AD16" s="342">
        <v>22827.9</v>
      </c>
      <c r="AE16" s="342">
        <v>2762.36</v>
      </c>
      <c r="AF16" s="344">
        <f t="shared" si="2"/>
        <v>0.1210080646927663</v>
      </c>
      <c r="AG16" s="342">
        <v>2351.3200000000002</v>
      </c>
      <c r="AH16" s="344">
        <f t="shared" si="3"/>
        <v>0.10300202821985377</v>
      </c>
      <c r="AI16" s="342">
        <v>2981.22</v>
      </c>
      <c r="AJ16" s="344">
        <f t="shared" si="4"/>
        <v>0.13059545556095828</v>
      </c>
      <c r="AK16" s="342">
        <v>13220.85</v>
      </c>
      <c r="AL16" s="784">
        <f t="shared" si="5"/>
        <v>0.57915314155047115</v>
      </c>
      <c r="AM16" s="350" t="s">
        <v>313</v>
      </c>
      <c r="AN16" s="350" t="s">
        <v>313</v>
      </c>
      <c r="AO16" s="350" t="s">
        <v>313</v>
      </c>
      <c r="AP16" s="639">
        <f t="shared" si="6"/>
        <v>-0.16487920741088913</v>
      </c>
    </row>
    <row r="17" spans="1:42" x14ac:dyDescent="0.2">
      <c r="A17" s="638">
        <v>42385</v>
      </c>
      <c r="B17" s="341" t="s">
        <v>133</v>
      </c>
      <c r="C17" s="351" t="s">
        <v>176</v>
      </c>
      <c r="D17" s="342">
        <v>0</v>
      </c>
      <c r="E17" s="342">
        <v>0</v>
      </c>
      <c r="F17" s="342">
        <v>0</v>
      </c>
      <c r="G17" s="342">
        <v>0</v>
      </c>
      <c r="H17" s="342">
        <v>0</v>
      </c>
      <c r="I17" s="342">
        <v>0</v>
      </c>
      <c r="J17" s="342">
        <v>0</v>
      </c>
      <c r="K17" s="343">
        <v>0</v>
      </c>
      <c r="L17" s="342">
        <v>0</v>
      </c>
      <c r="M17" s="342">
        <v>0</v>
      </c>
      <c r="N17" s="354">
        <v>0</v>
      </c>
      <c r="O17" s="343" t="s">
        <v>311</v>
      </c>
      <c r="P17" s="343" t="s">
        <v>311</v>
      </c>
      <c r="Q17" s="343" t="s">
        <v>311</v>
      </c>
      <c r="R17" s="344" t="s">
        <v>312</v>
      </c>
      <c r="S17" s="344" t="s">
        <v>312</v>
      </c>
      <c r="T17" s="343">
        <v>21112.61</v>
      </c>
      <c r="U17" s="342">
        <v>0</v>
      </c>
      <c r="V17" s="342">
        <v>0</v>
      </c>
      <c r="W17" s="344" t="str">
        <f t="shared" si="7"/>
        <v>0.00%</v>
      </c>
      <c r="X17" s="342">
        <v>0</v>
      </c>
      <c r="Y17" s="344" t="str">
        <f t="shared" si="8"/>
        <v>0.00%</v>
      </c>
      <c r="Z17" s="342">
        <v>0</v>
      </c>
      <c r="AA17" s="344">
        <f t="shared" si="0"/>
        <v>0</v>
      </c>
      <c r="AB17" s="342">
        <v>0</v>
      </c>
      <c r="AC17" s="344" t="str">
        <f t="shared" si="1"/>
        <v>0.00%</v>
      </c>
      <c r="AD17" s="342">
        <v>21112.61</v>
      </c>
      <c r="AE17" s="342">
        <v>0</v>
      </c>
      <c r="AF17" s="344">
        <f t="shared" si="2"/>
        <v>0</v>
      </c>
      <c r="AG17" s="342">
        <v>0</v>
      </c>
      <c r="AH17" s="344">
        <f t="shared" si="3"/>
        <v>0</v>
      </c>
      <c r="AI17" s="342">
        <v>0</v>
      </c>
      <c r="AJ17" s="344">
        <f t="shared" si="4"/>
        <v>0</v>
      </c>
      <c r="AK17" s="342">
        <v>538.66</v>
      </c>
      <c r="AL17" s="784">
        <f t="shared" si="5"/>
        <v>2.5513662214193315E-2</v>
      </c>
      <c r="AM17" s="350" t="s">
        <v>313</v>
      </c>
      <c r="AN17" s="350" t="s">
        <v>313</v>
      </c>
      <c r="AO17" s="350" t="s">
        <v>313</v>
      </c>
      <c r="AP17" s="639" t="str">
        <f t="shared" si="6"/>
        <v>0.00%</v>
      </c>
    </row>
    <row r="18" spans="1:42" x14ac:dyDescent="0.2">
      <c r="A18" s="638">
        <v>42385</v>
      </c>
      <c r="B18" s="341" t="s">
        <v>133</v>
      </c>
      <c r="C18" s="351" t="s">
        <v>177</v>
      </c>
      <c r="D18" s="342">
        <v>118781.649999997</v>
      </c>
      <c r="E18" s="342">
        <v>9404</v>
      </c>
      <c r="F18" s="342">
        <v>109377.649999997</v>
      </c>
      <c r="G18" s="342">
        <v>76194.749950408906</v>
      </c>
      <c r="H18" s="342">
        <v>30436.9399596453</v>
      </c>
      <c r="I18" s="342">
        <v>45757.809990763701</v>
      </c>
      <c r="J18" s="342">
        <v>7039.6699910163898</v>
      </c>
      <c r="K18" s="343">
        <v>69155.079959392606</v>
      </c>
      <c r="L18" s="342">
        <v>26058.9800481889</v>
      </c>
      <c r="M18" s="342">
        <v>1013.51000165939</v>
      </c>
      <c r="N18" s="354">
        <v>654</v>
      </c>
      <c r="O18" s="343">
        <v>181.62331804280888</v>
      </c>
      <c r="P18" s="343">
        <v>140.22807331827019</v>
      </c>
      <c r="Q18" s="343">
        <v>116.5057338691269</v>
      </c>
      <c r="R18" s="344">
        <v>0.64146903120482768</v>
      </c>
      <c r="S18" s="344">
        <v>0.89990798323204901</v>
      </c>
      <c r="T18" s="343">
        <v>134510.58000000002</v>
      </c>
      <c r="U18" s="342">
        <v>94768.73</v>
      </c>
      <c r="V18" s="342">
        <v>8879.3799999999992</v>
      </c>
      <c r="W18" s="344">
        <f t="shared" si="7"/>
        <v>9.3695251587733633E-2</v>
      </c>
      <c r="X18" s="342">
        <v>17299</v>
      </c>
      <c r="Y18" s="344">
        <f t="shared" si="8"/>
        <v>0.18253911390392169</v>
      </c>
      <c r="Z18" s="342">
        <v>3600.94</v>
      </c>
      <c r="AA18" s="344">
        <f t="shared" si="0"/>
        <v>3.7997132598484758E-2</v>
      </c>
      <c r="AB18" s="342">
        <v>4659.1099999999997</v>
      </c>
      <c r="AC18" s="344">
        <f t="shared" si="1"/>
        <v>4.9162946469790192E-2</v>
      </c>
      <c r="AD18" s="342">
        <f>SUM(AE18,AG18,AI18,AK18)</f>
        <v>131733.32</v>
      </c>
      <c r="AE18" s="342">
        <v>6761.58</v>
      </c>
      <c r="AF18" s="344">
        <f t="shared" si="2"/>
        <v>5.132778859593002E-2</v>
      </c>
      <c r="AG18" s="342">
        <v>5966.64</v>
      </c>
      <c r="AH18" s="344">
        <f t="shared" si="3"/>
        <v>4.5293324422401256E-2</v>
      </c>
      <c r="AI18" s="342">
        <v>3910.41</v>
      </c>
      <c r="AJ18" s="344">
        <f t="shared" si="4"/>
        <v>2.9684289441729697E-2</v>
      </c>
      <c r="AK18" s="342">
        <v>115094.69</v>
      </c>
      <c r="AL18" s="784">
        <f t="shared" si="5"/>
        <v>0.87369459753993894</v>
      </c>
      <c r="AM18" s="350">
        <f>IFERROR(T18/(D18)*30,"0.00")</f>
        <v>33.972565627772497</v>
      </c>
      <c r="AN18" s="350">
        <f>IFERROR(U18/(F18)*30,"0.00")</f>
        <v>25.993079024828912</v>
      </c>
      <c r="AO18" s="350">
        <f>IFERROR(AD18/(E18)*30,"0.00")</f>
        <v>420.24666099532118</v>
      </c>
      <c r="AP18" s="639">
        <f t="shared" si="6"/>
        <v>7.6760816420551839E-2</v>
      </c>
    </row>
    <row r="19" spans="1:42" x14ac:dyDescent="0.2">
      <c r="A19" s="638">
        <v>42385</v>
      </c>
      <c r="B19" s="341" t="s">
        <v>134</v>
      </c>
      <c r="C19" s="351" t="s">
        <v>178</v>
      </c>
      <c r="D19" s="342">
        <v>398147.05006678822</v>
      </c>
      <c r="E19" s="342">
        <v>14311.50999832153</v>
      </c>
      <c r="F19" s="342">
        <v>383835.54006846662</v>
      </c>
      <c r="G19" s="342">
        <v>199122.68057173467</v>
      </c>
      <c r="H19" s="342">
        <v>112103.88050955537</v>
      </c>
      <c r="I19" s="342">
        <v>87018.800062179595</v>
      </c>
      <c r="J19" s="342">
        <v>14894.560002774</v>
      </c>
      <c r="K19" s="343">
        <v>184228.12056896096</v>
      </c>
      <c r="L19" s="342">
        <v>77291.699875175953</v>
      </c>
      <c r="M19" s="342">
        <v>5989.76000022888</v>
      </c>
      <c r="N19" s="354">
        <v>2183</v>
      </c>
      <c r="O19" s="343">
        <v>182.38527259129094</v>
      </c>
      <c r="P19" s="343">
        <v>144.23526806751411</v>
      </c>
      <c r="Q19" s="343">
        <v>91.215153720446622</v>
      </c>
      <c r="R19" s="344">
        <v>0.50012346076238068</v>
      </c>
      <c r="S19" s="344">
        <v>0.66380636972355267</v>
      </c>
      <c r="T19" s="343">
        <v>452357.91</v>
      </c>
      <c r="U19" s="342">
        <v>420796.08999999997</v>
      </c>
      <c r="V19" s="342">
        <v>20979.87</v>
      </c>
      <c r="W19" s="344">
        <f t="shared" si="7"/>
        <v>4.9857568781116766E-2</v>
      </c>
      <c r="X19" s="342">
        <v>16297.720000000001</v>
      </c>
      <c r="Y19" s="344">
        <f t="shared" si="8"/>
        <v>3.8730683072649277E-2</v>
      </c>
      <c r="Z19" s="342">
        <v>16487.62</v>
      </c>
      <c r="AA19" s="344">
        <f t="shared" si="0"/>
        <v>3.9181970535895429E-2</v>
      </c>
      <c r="AB19" s="342">
        <v>-189.9</v>
      </c>
      <c r="AC19" s="344">
        <f t="shared" si="1"/>
        <v>-4.5128746324615333E-4</v>
      </c>
      <c r="AD19" s="342">
        <v>31561.82</v>
      </c>
      <c r="AE19" s="342">
        <v>12873</v>
      </c>
      <c r="AF19" s="344">
        <f t="shared" si="2"/>
        <v>0.40786621303841158</v>
      </c>
      <c r="AG19" s="342">
        <v>10067.31</v>
      </c>
      <c r="AH19" s="344">
        <f t="shared" si="3"/>
        <v>0.31897114931901899</v>
      </c>
      <c r="AI19" s="342">
        <v>822.2</v>
      </c>
      <c r="AJ19" s="344">
        <f t="shared" si="4"/>
        <v>2.605046223570124E-2</v>
      </c>
      <c r="AK19" s="342">
        <v>0</v>
      </c>
      <c r="AL19" s="784">
        <f t="shared" si="5"/>
        <v>0</v>
      </c>
      <c r="AM19" s="350">
        <f>IFERROR(T19/(D19)*30,"0.00")</f>
        <v>34.084736525671964</v>
      </c>
      <c r="AN19" s="350">
        <f>IFERROR(U19/(F19)*30,"0.00")</f>
        <v>32.888780173269566</v>
      </c>
      <c r="AO19" s="350">
        <f>IFERROR(AD19/(E19)*30,"0.00")</f>
        <v>66.160356252488256</v>
      </c>
      <c r="AP19" s="639">
        <f t="shared" si="6"/>
        <v>4.7304502196383873E-2</v>
      </c>
    </row>
    <row r="20" spans="1:42" x14ac:dyDescent="0.2">
      <c r="A20" s="638">
        <v>42385</v>
      </c>
      <c r="B20" s="341" t="s">
        <v>135</v>
      </c>
      <c r="C20" s="351" t="s">
        <v>180</v>
      </c>
      <c r="D20" s="342">
        <v>0</v>
      </c>
      <c r="E20" s="342">
        <v>0</v>
      </c>
      <c r="F20" s="342">
        <v>0</v>
      </c>
      <c r="G20" s="342">
        <v>1244.7200088500999</v>
      </c>
      <c r="H20" s="342">
        <v>9</v>
      </c>
      <c r="I20" s="342">
        <v>1235.7200088500999</v>
      </c>
      <c r="J20" s="342">
        <v>0</v>
      </c>
      <c r="K20" s="343">
        <v>1244.7200088500999</v>
      </c>
      <c r="L20" s="342">
        <v>0</v>
      </c>
      <c r="M20" s="342">
        <v>0</v>
      </c>
      <c r="N20" s="354">
        <v>0</v>
      </c>
      <c r="O20" s="343" t="s">
        <v>311</v>
      </c>
      <c r="P20" s="343" t="s">
        <v>311</v>
      </c>
      <c r="Q20" s="343" t="s">
        <v>311</v>
      </c>
      <c r="R20" s="344" t="s">
        <v>312</v>
      </c>
      <c r="S20" s="344" t="s">
        <v>312</v>
      </c>
      <c r="T20" s="343">
        <v>4620.1100000000006</v>
      </c>
      <c r="U20" s="342">
        <v>7.55</v>
      </c>
      <c r="V20" s="342">
        <v>0</v>
      </c>
      <c r="W20" s="344">
        <f t="shared" si="7"/>
        <v>0</v>
      </c>
      <c r="X20" s="342">
        <v>7.55</v>
      </c>
      <c r="Y20" s="344">
        <f t="shared" si="8"/>
        <v>1</v>
      </c>
      <c r="Z20" s="342">
        <v>0</v>
      </c>
      <c r="AA20" s="344">
        <f t="shared" si="0"/>
        <v>0</v>
      </c>
      <c r="AB20" s="342">
        <v>0</v>
      </c>
      <c r="AC20" s="344">
        <f t="shared" si="1"/>
        <v>0</v>
      </c>
      <c r="AD20" s="342">
        <v>4612.5600000000004</v>
      </c>
      <c r="AE20" s="342">
        <v>0</v>
      </c>
      <c r="AF20" s="344">
        <f t="shared" si="2"/>
        <v>0</v>
      </c>
      <c r="AG20" s="342">
        <v>0</v>
      </c>
      <c r="AH20" s="344">
        <f t="shared" si="3"/>
        <v>0</v>
      </c>
      <c r="AI20" s="342">
        <v>0</v>
      </c>
      <c r="AJ20" s="344">
        <f t="shared" si="4"/>
        <v>0</v>
      </c>
      <c r="AK20" s="342">
        <v>2034.89</v>
      </c>
      <c r="AL20" s="784">
        <f t="shared" si="5"/>
        <v>0.44116282498222242</v>
      </c>
      <c r="AM20" s="350" t="s">
        <v>313</v>
      </c>
      <c r="AN20" s="350" t="s">
        <v>313</v>
      </c>
      <c r="AO20" s="350" t="s">
        <v>313</v>
      </c>
      <c r="AP20" s="639" t="str">
        <f t="shared" si="6"/>
        <v>0.00%</v>
      </c>
    </row>
    <row r="21" spans="1:42" x14ac:dyDescent="0.2">
      <c r="A21" s="638">
        <v>42385</v>
      </c>
      <c r="B21" s="341" t="s">
        <v>135</v>
      </c>
      <c r="C21" s="351" t="s">
        <v>181</v>
      </c>
      <c r="D21" s="342">
        <v>115903.459999457</v>
      </c>
      <c r="E21" s="342">
        <v>8708</v>
      </c>
      <c r="F21" s="342">
        <v>107195.459999457</v>
      </c>
      <c r="G21" s="342">
        <v>63233.870308486701</v>
      </c>
      <c r="H21" s="342">
        <v>32272.2802565973</v>
      </c>
      <c r="I21" s="342">
        <v>30961.590051889401</v>
      </c>
      <c r="J21" s="342">
        <v>2584.1799993515001</v>
      </c>
      <c r="K21" s="343">
        <v>60649.6903091352</v>
      </c>
      <c r="L21" s="342">
        <v>30391.749695511498</v>
      </c>
      <c r="M21" s="342">
        <v>1252</v>
      </c>
      <c r="N21" s="354">
        <v>809</v>
      </c>
      <c r="O21" s="343">
        <v>143.26756489426083</v>
      </c>
      <c r="P21" s="343">
        <v>104.152917557411</v>
      </c>
      <c r="Q21" s="343">
        <v>78.163004089600378</v>
      </c>
      <c r="R21" s="344">
        <v>0.54557362056993763</v>
      </c>
      <c r="S21" s="344">
        <v>0.77420826130748721</v>
      </c>
      <c r="T21" s="343">
        <v>132094.03</v>
      </c>
      <c r="U21" s="342">
        <v>76704.490000000005</v>
      </c>
      <c r="V21" s="342">
        <v>2389.13</v>
      </c>
      <c r="W21" s="344">
        <f t="shared" si="7"/>
        <v>3.1147198814567439E-2</v>
      </c>
      <c r="X21" s="342">
        <v>9991.86</v>
      </c>
      <c r="Y21" s="344">
        <f t="shared" si="8"/>
        <v>0.13026434306518431</v>
      </c>
      <c r="Z21" s="342">
        <v>2366.5300000000002</v>
      </c>
      <c r="AA21" s="344">
        <f t="shared" si="0"/>
        <v>3.0852561564518582E-2</v>
      </c>
      <c r="AB21" s="342">
        <v>1552</v>
      </c>
      <c r="AC21" s="344">
        <f t="shared" si="1"/>
        <v>2.0233496109549779E-2</v>
      </c>
      <c r="AD21" s="342">
        <v>55389.54</v>
      </c>
      <c r="AE21" s="342">
        <v>3132.24</v>
      </c>
      <c r="AF21" s="344">
        <f t="shared" si="2"/>
        <v>5.65493051576164E-2</v>
      </c>
      <c r="AG21" s="342">
        <v>5109.05</v>
      </c>
      <c r="AH21" s="344">
        <f t="shared" si="3"/>
        <v>9.2238534568079095E-2</v>
      </c>
      <c r="AI21" s="342">
        <v>3227.43</v>
      </c>
      <c r="AJ21" s="344">
        <f t="shared" si="4"/>
        <v>5.8267860682720961E-2</v>
      </c>
      <c r="AK21" s="342">
        <v>54397.599999999999</v>
      </c>
      <c r="AL21" s="784">
        <f t="shared" si="5"/>
        <v>0.98209156458060487</v>
      </c>
      <c r="AM21" s="350">
        <v>34.1907040567949</v>
      </c>
      <c r="AN21" s="350">
        <v>21.466717900288469</v>
      </c>
      <c r="AO21" s="350">
        <v>190.82294441892515</v>
      </c>
      <c r="AP21" s="639">
        <f t="shared" si="6"/>
        <v>3.0669224829158886E-2</v>
      </c>
    </row>
    <row r="22" spans="1:42" x14ac:dyDescent="0.2">
      <c r="A22" s="638">
        <v>42385</v>
      </c>
      <c r="B22" s="341" t="s">
        <v>135</v>
      </c>
      <c r="C22" s="351" t="s">
        <v>182</v>
      </c>
      <c r="D22" s="342">
        <v>0</v>
      </c>
      <c r="E22" s="342">
        <v>0</v>
      </c>
      <c r="F22" s="342">
        <v>0</v>
      </c>
      <c r="G22" s="342">
        <v>501.23000240325899</v>
      </c>
      <c r="H22" s="342">
        <v>112.98999786377</v>
      </c>
      <c r="I22" s="342">
        <v>388.24000453948997</v>
      </c>
      <c r="J22" s="342">
        <v>317.72000503539999</v>
      </c>
      <c r="K22" s="343">
        <v>183.50999736785997</v>
      </c>
      <c r="L22" s="342">
        <v>71.449996948242202</v>
      </c>
      <c r="M22" s="342">
        <v>477</v>
      </c>
      <c r="N22" s="354">
        <v>0</v>
      </c>
      <c r="O22" s="343" t="s">
        <v>311</v>
      </c>
      <c r="P22" s="343" t="s">
        <v>311</v>
      </c>
      <c r="Q22" s="343" t="s">
        <v>311</v>
      </c>
      <c r="R22" s="344" t="s">
        <v>312</v>
      </c>
      <c r="S22" s="344">
        <v>-0.57867393381827814</v>
      </c>
      <c r="T22" s="343">
        <v>2551.61</v>
      </c>
      <c r="U22" s="342">
        <v>1628.02</v>
      </c>
      <c r="V22" s="342">
        <v>0</v>
      </c>
      <c r="W22" s="344">
        <f t="shared" si="7"/>
        <v>0</v>
      </c>
      <c r="X22" s="342">
        <v>1192.5999999999999</v>
      </c>
      <c r="Y22" s="344">
        <f t="shared" si="8"/>
        <v>0.73254628321519388</v>
      </c>
      <c r="Z22" s="342">
        <v>0</v>
      </c>
      <c r="AA22" s="344">
        <f t="shared" si="0"/>
        <v>0</v>
      </c>
      <c r="AB22" s="342">
        <v>-88.92</v>
      </c>
      <c r="AC22" s="344">
        <v>0</v>
      </c>
      <c r="AD22" s="342">
        <f t="shared" ref="AD22:AD23" si="10">SUM(AE22,AG22,AI22,AK22)</f>
        <v>7197.76</v>
      </c>
      <c r="AE22" s="342">
        <v>174</v>
      </c>
      <c r="AF22" s="344">
        <f t="shared" si="2"/>
        <v>2.417418752500778E-2</v>
      </c>
      <c r="AG22" s="342">
        <v>98.62</v>
      </c>
      <c r="AH22" s="344">
        <f t="shared" si="3"/>
        <v>1.370148490641533E-2</v>
      </c>
      <c r="AI22" s="342">
        <v>112.55</v>
      </c>
      <c r="AJ22" s="344">
        <f t="shared" si="4"/>
        <v>1.5636809229538078E-2</v>
      </c>
      <c r="AK22" s="342">
        <v>6812.59</v>
      </c>
      <c r="AL22" s="784">
        <f t="shared" si="5"/>
        <v>0.94648751833903877</v>
      </c>
      <c r="AM22" s="350" t="s">
        <v>313</v>
      </c>
      <c r="AN22" s="350" t="s">
        <v>313</v>
      </c>
      <c r="AO22" s="350" t="s">
        <v>313</v>
      </c>
      <c r="AP22" s="639">
        <f t="shared" si="6"/>
        <v>-0.57930532738316998</v>
      </c>
    </row>
    <row r="23" spans="1:42" x14ac:dyDescent="0.2">
      <c r="A23" s="638">
        <v>42385</v>
      </c>
      <c r="B23" s="341" t="s">
        <v>135</v>
      </c>
      <c r="C23" s="351" t="s">
        <v>183</v>
      </c>
      <c r="D23" s="342">
        <v>197216.25999945001</v>
      </c>
      <c r="E23" s="342">
        <v>10620</v>
      </c>
      <c r="F23" s="342">
        <v>186596.25999945001</v>
      </c>
      <c r="G23" s="342">
        <v>114294.760466248</v>
      </c>
      <c r="H23" s="342">
        <v>50498.490367025101</v>
      </c>
      <c r="I23" s="342">
        <v>63796.270099222696</v>
      </c>
      <c r="J23" s="342">
        <v>7047.0399808287602</v>
      </c>
      <c r="K23" s="343">
        <v>107247.72048541903</v>
      </c>
      <c r="L23" s="342">
        <v>54190.589440196803</v>
      </c>
      <c r="M23" s="342">
        <v>2100.4100036621098</v>
      </c>
      <c r="N23" s="354">
        <v>1042</v>
      </c>
      <c r="O23" s="343">
        <v>189.26704414534549</v>
      </c>
      <c r="P23" s="343">
        <v>135.24497174240986</v>
      </c>
      <c r="Q23" s="343">
        <v>109.68786992922054</v>
      </c>
      <c r="R23" s="344">
        <v>0.57954024919936387</v>
      </c>
      <c r="S23" s="344">
        <v>0.85372183746960972</v>
      </c>
      <c r="T23" s="343">
        <v>138279.44</v>
      </c>
      <c r="U23" s="342">
        <v>117593.18</v>
      </c>
      <c r="V23" s="342">
        <v>1201.19</v>
      </c>
      <c r="W23" s="344">
        <f t="shared" si="7"/>
        <v>1.0214793068781711E-2</v>
      </c>
      <c r="X23" s="342">
        <v>15445.77</v>
      </c>
      <c r="Y23" s="344">
        <f t="shared" si="8"/>
        <v>0.13134919899266267</v>
      </c>
      <c r="Z23" s="342">
        <v>4232.59</v>
      </c>
      <c r="AA23" s="344">
        <f t="shared" si="0"/>
        <v>3.5993498942710797E-2</v>
      </c>
      <c r="AB23" s="342">
        <v>2496.5700000000002</v>
      </c>
      <c r="AC23" s="344">
        <f t="shared" si="1"/>
        <v>2.1230567963210115E-2</v>
      </c>
      <c r="AD23" s="342">
        <f t="shared" si="10"/>
        <v>98535.18</v>
      </c>
      <c r="AE23" s="342">
        <v>6571.18</v>
      </c>
      <c r="AF23" s="344">
        <f t="shared" si="2"/>
        <v>6.6688668960669689E-2</v>
      </c>
      <c r="AG23" s="342">
        <v>5887.88</v>
      </c>
      <c r="AH23" s="344">
        <f t="shared" si="3"/>
        <v>5.975408985907369E-2</v>
      </c>
      <c r="AI23" s="342">
        <v>5016.58</v>
      </c>
      <c r="AJ23" s="344">
        <f t="shared" si="4"/>
        <v>5.0911562753526207E-2</v>
      </c>
      <c r="AK23" s="342">
        <v>81059.539999999994</v>
      </c>
      <c r="AL23" s="784">
        <f t="shared" si="5"/>
        <v>0.82264567842673042</v>
      </c>
      <c r="AM23" s="350">
        <v>21.034691561494821</v>
      </c>
      <c r="AN23" s="350">
        <v>18.906034879854495</v>
      </c>
      <c r="AO23" s="350">
        <v>58.435762711864413</v>
      </c>
      <c r="AP23" s="639">
        <f t="shared" si="6"/>
        <v>5.0005513227693484E-2</v>
      </c>
    </row>
    <row r="24" spans="1:42" x14ac:dyDescent="0.2">
      <c r="A24" s="638">
        <v>42385</v>
      </c>
      <c r="B24" s="341" t="s">
        <v>135</v>
      </c>
      <c r="C24" s="351" t="s">
        <v>184</v>
      </c>
      <c r="D24" s="342">
        <v>0</v>
      </c>
      <c r="E24" s="342">
        <v>0</v>
      </c>
      <c r="F24" s="342">
        <v>0</v>
      </c>
      <c r="G24" s="342">
        <v>534.68999576568604</v>
      </c>
      <c r="H24" s="342">
        <v>156.219997406006</v>
      </c>
      <c r="I24" s="342">
        <v>378.46999835968001</v>
      </c>
      <c r="J24" s="342">
        <v>288.67000579834001</v>
      </c>
      <c r="K24" s="343">
        <v>246.01998996734602</v>
      </c>
      <c r="L24" s="342">
        <v>330.16999816894503</v>
      </c>
      <c r="M24" s="342">
        <v>0</v>
      </c>
      <c r="N24" s="354">
        <v>0</v>
      </c>
      <c r="O24" s="343" t="s">
        <v>311</v>
      </c>
      <c r="P24" s="343" t="s">
        <v>311</v>
      </c>
      <c r="Q24" s="343" t="s">
        <v>311</v>
      </c>
      <c r="R24" s="344" t="s">
        <v>312</v>
      </c>
      <c r="S24" s="344">
        <v>-0.86401976655981083</v>
      </c>
      <c r="T24" s="343">
        <v>19886.47</v>
      </c>
      <c r="U24" s="342">
        <v>2931.76</v>
      </c>
      <c r="V24" s="342">
        <v>0</v>
      </c>
      <c r="W24" s="344">
        <f t="shared" si="7"/>
        <v>0</v>
      </c>
      <c r="X24" s="342">
        <v>2931.7599999999998</v>
      </c>
      <c r="Y24" s="344">
        <f t="shared" si="8"/>
        <v>0.99999999999999989</v>
      </c>
      <c r="Z24" s="342">
        <v>155</v>
      </c>
      <c r="AA24" s="344">
        <f t="shared" si="0"/>
        <v>5.2869266242802956E-2</v>
      </c>
      <c r="AB24" s="342">
        <v>291.10000000000002</v>
      </c>
      <c r="AC24" s="344">
        <f t="shared" si="1"/>
        <v>9.9291892924386713E-2</v>
      </c>
      <c r="AD24" s="342">
        <v>16954.71</v>
      </c>
      <c r="AE24" s="342">
        <v>580.24</v>
      </c>
      <c r="AF24" s="344">
        <f t="shared" si="2"/>
        <v>3.4222938640649118E-2</v>
      </c>
      <c r="AG24" s="342">
        <v>839.31</v>
      </c>
      <c r="AH24" s="344">
        <f t="shared" si="3"/>
        <v>4.9503058442167396E-2</v>
      </c>
      <c r="AI24" s="342">
        <v>90.61</v>
      </c>
      <c r="AJ24" s="344">
        <f t="shared" si="4"/>
        <v>5.3442376779077915E-3</v>
      </c>
      <c r="AK24" s="342">
        <v>10284.799999999999</v>
      </c>
      <c r="AL24" s="784">
        <f t="shared" si="5"/>
        <v>0.60660430051590386</v>
      </c>
      <c r="AM24" s="350" t="s">
        <v>313</v>
      </c>
      <c r="AN24" s="350" t="s">
        <v>313</v>
      </c>
      <c r="AO24" s="350" t="s">
        <v>313</v>
      </c>
      <c r="AP24" s="639">
        <f t="shared" si="6"/>
        <v>-0.8743071975020279</v>
      </c>
    </row>
    <row r="25" spans="1:42" x14ac:dyDescent="0.2">
      <c r="A25" s="638">
        <v>42385</v>
      </c>
      <c r="B25" s="341" t="s">
        <v>135</v>
      </c>
      <c r="C25" s="351" t="s">
        <v>185</v>
      </c>
      <c r="D25" s="342">
        <v>128362.679999452</v>
      </c>
      <c r="E25" s="342">
        <v>4235</v>
      </c>
      <c r="F25" s="342">
        <v>124127.679999452</v>
      </c>
      <c r="G25" s="342">
        <v>73777.490335613504</v>
      </c>
      <c r="H25" s="342">
        <v>41313.180274158702</v>
      </c>
      <c r="I25" s="342">
        <v>32464.310061454798</v>
      </c>
      <c r="J25" s="342">
        <v>3519.29000031948</v>
      </c>
      <c r="K25" s="343">
        <v>70258.200335294023</v>
      </c>
      <c r="L25" s="342">
        <v>42926.279504556202</v>
      </c>
      <c r="M25" s="342">
        <v>1764.7799997329701</v>
      </c>
      <c r="N25" s="354">
        <v>653</v>
      </c>
      <c r="O25" s="343">
        <v>196.57378254127411</v>
      </c>
      <c r="P25" s="343">
        <v>128.1341814627302</v>
      </c>
      <c r="Q25" s="343">
        <v>112.98237417398698</v>
      </c>
      <c r="R25" s="344">
        <v>0.5747581020895518</v>
      </c>
      <c r="S25" s="344">
        <v>0.92046594129112735</v>
      </c>
      <c r="T25" s="343">
        <v>91548.06</v>
      </c>
      <c r="U25" s="342">
        <v>87103.79</v>
      </c>
      <c r="V25" s="342">
        <v>1889.04</v>
      </c>
      <c r="W25" s="344">
        <f t="shared" si="7"/>
        <v>2.1687230831172789E-2</v>
      </c>
      <c r="X25" s="342">
        <v>8798.76</v>
      </c>
      <c r="Y25" s="344">
        <f t="shared" si="8"/>
        <v>0.10101466308182458</v>
      </c>
      <c r="Z25" s="342">
        <v>1938.13</v>
      </c>
      <c r="AA25" s="344">
        <f t="shared" si="0"/>
        <v>2.225081135964348E-2</v>
      </c>
      <c r="AB25" s="342">
        <v>124.59</v>
      </c>
      <c r="AC25" s="344">
        <f t="shared" si="1"/>
        <v>1.4303625594247968E-3</v>
      </c>
      <c r="AD25" s="342">
        <f>SUM(AE25,AG25,AI25,AK25)</f>
        <v>64894.69</v>
      </c>
      <c r="AE25" s="342">
        <v>3081.13</v>
      </c>
      <c r="AF25" s="344">
        <f t="shared" si="2"/>
        <v>4.7478923159968864E-2</v>
      </c>
      <c r="AG25" s="342">
        <v>3753.19</v>
      </c>
      <c r="AH25" s="344">
        <f t="shared" si="3"/>
        <v>5.783508635298204E-2</v>
      </c>
      <c r="AI25" s="342">
        <v>1684.43</v>
      </c>
      <c r="AJ25" s="344">
        <f t="shared" si="4"/>
        <v>2.5956360990398445E-2</v>
      </c>
      <c r="AK25" s="342">
        <v>56375.94</v>
      </c>
      <c r="AL25" s="784">
        <f t="shared" si="5"/>
        <v>0.86872962949665067</v>
      </c>
      <c r="AM25" s="350">
        <v>21.395952468519081</v>
      </c>
      <c r="AN25" s="350">
        <v>21.051820996022293</v>
      </c>
      <c r="AO25" s="350">
        <v>31.482432113341197</v>
      </c>
      <c r="AP25" s="639">
        <f t="shared" si="6"/>
        <v>4.2060736716852946E-2</v>
      </c>
    </row>
    <row r="26" spans="1:42" x14ac:dyDescent="0.2">
      <c r="A26" s="638">
        <v>42385</v>
      </c>
      <c r="B26" s="341" t="s">
        <v>135</v>
      </c>
      <c r="C26" s="351" t="s">
        <v>179</v>
      </c>
      <c r="D26" s="342">
        <v>79419.769999461205</v>
      </c>
      <c r="E26" s="342">
        <v>4465</v>
      </c>
      <c r="F26" s="342">
        <v>74954.769999461205</v>
      </c>
      <c r="G26" s="342">
        <v>50634.850267052701</v>
      </c>
      <c r="H26" s="342">
        <v>25691.230211019501</v>
      </c>
      <c r="I26" s="342">
        <v>24943.620056033102</v>
      </c>
      <c r="J26" s="342">
        <v>2665.4300035238298</v>
      </c>
      <c r="K26" s="343">
        <v>47969.42026352878</v>
      </c>
      <c r="L26" s="342">
        <v>22070.1697616577</v>
      </c>
      <c r="M26" s="342">
        <v>936</v>
      </c>
      <c r="N26" s="354">
        <v>419</v>
      </c>
      <c r="O26" s="343">
        <v>189.54599045217472</v>
      </c>
      <c r="P26" s="343">
        <v>134.638664052037</v>
      </c>
      <c r="Q26" s="343">
        <v>120.84689801205873</v>
      </c>
      <c r="R26" s="344">
        <v>0.63755976965680106</v>
      </c>
      <c r="S26" s="344">
        <v>0.94207579618698445</v>
      </c>
      <c r="T26" s="343">
        <v>59515.770000000004</v>
      </c>
      <c r="U26" s="342">
        <v>43450.42</v>
      </c>
      <c r="V26" s="342">
        <v>370.81</v>
      </c>
      <c r="W26" s="344">
        <f t="shared" si="7"/>
        <v>8.5340947222144227E-3</v>
      </c>
      <c r="X26" s="342">
        <v>4536.0599999999995</v>
      </c>
      <c r="Y26" s="344">
        <f t="shared" si="8"/>
        <v>0.10439622908132994</v>
      </c>
      <c r="Z26" s="342">
        <v>1731.53</v>
      </c>
      <c r="AA26" s="344">
        <f t="shared" si="0"/>
        <v>3.9850708002362234E-2</v>
      </c>
      <c r="AB26" s="342">
        <v>617</v>
      </c>
      <c r="AC26" s="344">
        <f t="shared" si="1"/>
        <v>1.420009288747957E-2</v>
      </c>
      <c r="AD26" s="342">
        <v>16065.350000000002</v>
      </c>
      <c r="AE26" s="342">
        <v>2691.24</v>
      </c>
      <c r="AF26" s="344">
        <f t="shared" si="2"/>
        <v>0.16751829247417574</v>
      </c>
      <c r="AG26" s="342">
        <v>2580.71</v>
      </c>
      <c r="AH26" s="344">
        <f t="shared" si="3"/>
        <v>0.16063826807383591</v>
      </c>
      <c r="AI26" s="342">
        <v>3593.66</v>
      </c>
      <c r="AJ26" s="344">
        <f t="shared" si="4"/>
        <v>0.22369011568375413</v>
      </c>
      <c r="AK26" s="342">
        <v>14558.59</v>
      </c>
      <c r="AL26" s="784">
        <f t="shared" si="5"/>
        <v>0.90621057119826198</v>
      </c>
      <c r="AM26" s="350">
        <v>22.481469034877751</v>
      </c>
      <c r="AN26" s="350">
        <v>17.3906557249041</v>
      </c>
      <c r="AO26" s="350">
        <v>107.94188129899217</v>
      </c>
      <c r="AP26" s="639">
        <f t="shared" si="6"/>
        <v>4.7248003890694598E-2</v>
      </c>
    </row>
    <row r="27" spans="1:42" x14ac:dyDescent="0.2">
      <c r="A27" s="638">
        <v>42385</v>
      </c>
      <c r="B27" s="341" t="s">
        <v>135</v>
      </c>
      <c r="C27" s="351" t="s">
        <v>186</v>
      </c>
      <c r="D27" s="342">
        <v>51422.079999998197</v>
      </c>
      <c r="E27" s="342">
        <v>4028</v>
      </c>
      <c r="F27" s="342">
        <v>47394.079999998197</v>
      </c>
      <c r="G27" s="342">
        <v>21848.730078816399</v>
      </c>
      <c r="H27" s="342">
        <v>9407.8700801134091</v>
      </c>
      <c r="I27" s="342">
        <v>12440.859998702999</v>
      </c>
      <c r="J27" s="342">
        <v>30</v>
      </c>
      <c r="K27" s="343">
        <v>21818.730078816407</v>
      </c>
      <c r="L27" s="342">
        <v>9882.3599233627301</v>
      </c>
      <c r="M27" s="342">
        <v>302</v>
      </c>
      <c r="N27" s="354">
        <v>290</v>
      </c>
      <c r="O27" s="343">
        <v>177.31751724137308</v>
      </c>
      <c r="P27" s="343">
        <v>142.19903474701886</v>
      </c>
      <c r="Q27" s="343">
        <v>75.340448547642779</v>
      </c>
      <c r="R27" s="344">
        <v>0.42489004876537806</v>
      </c>
      <c r="S27" s="344">
        <v>0.53020963154922296</v>
      </c>
      <c r="T27" s="343">
        <v>38369.79</v>
      </c>
      <c r="U27" s="342">
        <v>27219.93</v>
      </c>
      <c r="V27" s="342">
        <v>0</v>
      </c>
      <c r="W27" s="344">
        <f t="shared" si="7"/>
        <v>0</v>
      </c>
      <c r="X27" s="342">
        <v>0</v>
      </c>
      <c r="Y27" s="344">
        <f t="shared" si="8"/>
        <v>0</v>
      </c>
      <c r="Z27" s="342">
        <v>0</v>
      </c>
      <c r="AA27" s="344">
        <f t="shared" si="0"/>
        <v>0</v>
      </c>
      <c r="AB27" s="342">
        <v>0</v>
      </c>
      <c r="AC27" s="344">
        <f t="shared" si="1"/>
        <v>0</v>
      </c>
      <c r="AD27" s="342">
        <v>11149.860000000002</v>
      </c>
      <c r="AE27" s="342">
        <v>0</v>
      </c>
      <c r="AF27" s="344">
        <f t="shared" si="2"/>
        <v>0</v>
      </c>
      <c r="AG27" s="342">
        <v>0</v>
      </c>
      <c r="AH27" s="344">
        <f t="shared" si="3"/>
        <v>0</v>
      </c>
      <c r="AI27" s="342">
        <v>0</v>
      </c>
      <c r="AJ27" s="344">
        <f t="shared" si="4"/>
        <v>0</v>
      </c>
      <c r="AK27" s="342">
        <v>0</v>
      </c>
      <c r="AL27" s="784">
        <f t="shared" si="5"/>
        <v>0</v>
      </c>
      <c r="AM27" s="350">
        <v>22.38520301006961</v>
      </c>
      <c r="AN27" s="350">
        <v>17.229955724428685</v>
      </c>
      <c r="AO27" s="350">
        <v>83.042651439920576</v>
      </c>
      <c r="AP27" s="639">
        <f t="shared" si="6"/>
        <v>7.2748929728046359E-4</v>
      </c>
    </row>
    <row r="28" spans="1:42" x14ac:dyDescent="0.2">
      <c r="A28" s="638">
        <v>42385</v>
      </c>
      <c r="B28" s="341" t="s">
        <v>135</v>
      </c>
      <c r="C28" s="351" t="s">
        <v>187</v>
      </c>
      <c r="D28" s="342">
        <v>92471.249999994398</v>
      </c>
      <c r="E28" s="342">
        <v>4849</v>
      </c>
      <c r="F28" s="342">
        <v>87622.249999994398</v>
      </c>
      <c r="G28" s="342">
        <v>50905.0301878545</v>
      </c>
      <c r="H28" s="342">
        <v>23440.470156917301</v>
      </c>
      <c r="I28" s="342">
        <v>27464.560030937198</v>
      </c>
      <c r="J28" s="342">
        <v>2975.0100030898998</v>
      </c>
      <c r="K28" s="343">
        <v>47930.020184764602</v>
      </c>
      <c r="L28" s="342">
        <v>24333.529777756001</v>
      </c>
      <c r="M28" s="342">
        <v>794.01000022888195</v>
      </c>
      <c r="N28" s="354">
        <v>480</v>
      </c>
      <c r="O28" s="343">
        <v>192.64843749998832</v>
      </c>
      <c r="P28" s="343">
        <v>140.29939629585314</v>
      </c>
      <c r="Q28" s="343">
        <v>106.05214622469687</v>
      </c>
      <c r="R28" s="344">
        <v>0.55049575071016754</v>
      </c>
      <c r="S28" s="344">
        <v>0.79083514215333195</v>
      </c>
      <c r="T28" s="343">
        <v>65126.34</v>
      </c>
      <c r="U28" s="342">
        <v>51837.11</v>
      </c>
      <c r="V28" s="342">
        <v>822.57</v>
      </c>
      <c r="W28" s="344">
        <f t="shared" si="7"/>
        <v>1.5868361488516624E-2</v>
      </c>
      <c r="X28" s="342">
        <v>2771.31</v>
      </c>
      <c r="Y28" s="344">
        <f t="shared" si="8"/>
        <v>5.3461892455038483E-2</v>
      </c>
      <c r="Z28" s="342">
        <v>798.81</v>
      </c>
      <c r="AA28" s="344">
        <f t="shared" si="0"/>
        <v>1.5410002602382731E-2</v>
      </c>
      <c r="AB28" s="342">
        <v>619</v>
      </c>
      <c r="AC28" s="344">
        <f t="shared" si="1"/>
        <v>1.1941252126131259E-2</v>
      </c>
      <c r="AD28" s="342">
        <v>13289.23</v>
      </c>
      <c r="AE28" s="342">
        <v>2078.69</v>
      </c>
      <c r="AF28" s="344">
        <f t="shared" si="2"/>
        <v>0.15641914542829044</v>
      </c>
      <c r="AG28" s="342">
        <v>1823.4</v>
      </c>
      <c r="AH28" s="344">
        <f t="shared" si="3"/>
        <v>0.13720885258212856</v>
      </c>
      <c r="AI28" s="342">
        <v>1600.51</v>
      </c>
      <c r="AJ28" s="344">
        <f t="shared" si="4"/>
        <v>0.12043662424384258</v>
      </c>
      <c r="AK28" s="342">
        <v>2528.29</v>
      </c>
      <c r="AL28" s="784">
        <f t="shared" si="5"/>
        <v>0.19025105292029712</v>
      </c>
      <c r="AM28" s="350">
        <v>21.128623220732045</v>
      </c>
      <c r="AN28" s="350">
        <v>17.747927039080821</v>
      </c>
      <c r="AO28" s="350">
        <v>82.218374922664466</v>
      </c>
      <c r="AP28" s="639">
        <f t="shared" si="6"/>
        <v>4.4176508738266645E-2</v>
      </c>
    </row>
    <row r="29" spans="1:42" x14ac:dyDescent="0.2">
      <c r="A29" s="638">
        <v>42385</v>
      </c>
      <c r="B29" s="341" t="s">
        <v>135</v>
      </c>
      <c r="C29" s="351" t="s">
        <v>188</v>
      </c>
      <c r="D29" s="342">
        <v>99912.1399999969</v>
      </c>
      <c r="E29" s="342">
        <v>5263</v>
      </c>
      <c r="F29" s="342">
        <v>94649.1399999969</v>
      </c>
      <c r="G29" s="342">
        <v>56136.130357004702</v>
      </c>
      <c r="H29" s="342">
        <v>29676.770307779301</v>
      </c>
      <c r="I29" s="342">
        <v>26459.360049225401</v>
      </c>
      <c r="J29" s="342">
        <v>2738.3399982638698</v>
      </c>
      <c r="K29" s="343">
        <v>53397.790358740829</v>
      </c>
      <c r="L29" s="342">
        <v>29703.189603805498</v>
      </c>
      <c r="M29" s="342">
        <v>1028.7000007629399</v>
      </c>
      <c r="N29" s="354">
        <v>627</v>
      </c>
      <c r="O29" s="343">
        <v>159.34950558213222</v>
      </c>
      <c r="P29" s="343">
        <v>110.33532758441541</v>
      </c>
      <c r="Q29" s="343">
        <v>89.53130838437751</v>
      </c>
      <c r="R29" s="344">
        <v>0.56185494932854452</v>
      </c>
      <c r="S29" s="344">
        <v>0.84489037147553647</v>
      </c>
      <c r="T29" s="343">
        <v>89239.22</v>
      </c>
      <c r="U29" s="342">
        <v>60513.79</v>
      </c>
      <c r="V29" s="342">
        <v>1393.7</v>
      </c>
      <c r="W29" s="344">
        <f t="shared" si="7"/>
        <v>2.3031114065075086E-2</v>
      </c>
      <c r="X29" s="342">
        <v>6654.92</v>
      </c>
      <c r="Y29" s="344">
        <f t="shared" si="8"/>
        <v>0.10997361097363097</v>
      </c>
      <c r="Z29" s="342">
        <v>1944.56</v>
      </c>
      <c r="AA29" s="344">
        <f t="shared" si="0"/>
        <v>3.2134163138682934E-2</v>
      </c>
      <c r="AB29" s="342">
        <v>863.94</v>
      </c>
      <c r="AC29" s="344">
        <f t="shared" si="1"/>
        <v>1.4276745845864225E-2</v>
      </c>
      <c r="AD29" s="342">
        <v>28725.43</v>
      </c>
      <c r="AE29" s="342">
        <v>3264.51</v>
      </c>
      <c r="AF29" s="344">
        <f t="shared" si="2"/>
        <v>0.11364529617137151</v>
      </c>
      <c r="AG29" s="342">
        <v>3166.79</v>
      </c>
      <c r="AH29" s="344">
        <f t="shared" si="3"/>
        <v>0.11024343238726104</v>
      </c>
      <c r="AI29" s="342">
        <v>2018.97</v>
      </c>
      <c r="AJ29" s="344">
        <f t="shared" si="4"/>
        <v>7.0285109744223154E-2</v>
      </c>
      <c r="AK29" s="342">
        <v>12442.12</v>
      </c>
      <c r="AL29" s="784">
        <f t="shared" si="5"/>
        <v>0.43313955613545213</v>
      </c>
      <c r="AM29" s="350">
        <v>26.795308357924103</v>
      </c>
      <c r="AN29" s="350">
        <v>19.180456367591503</v>
      </c>
      <c r="AO29" s="350">
        <v>163.73986319589588</v>
      </c>
      <c r="AP29" s="639">
        <f t="shared" si="6"/>
        <v>3.9582684113048883E-2</v>
      </c>
    </row>
    <row r="30" spans="1:42" x14ac:dyDescent="0.2">
      <c r="A30" s="638">
        <v>42385</v>
      </c>
      <c r="B30" s="341" t="s">
        <v>136</v>
      </c>
      <c r="C30" s="351" t="s">
        <v>189</v>
      </c>
      <c r="D30" s="342">
        <v>95663.209999995306</v>
      </c>
      <c r="E30" s="342">
        <v>6883</v>
      </c>
      <c r="F30" s="342">
        <v>88780.209999995306</v>
      </c>
      <c r="G30" s="342">
        <v>61707.179820060701</v>
      </c>
      <c r="H30" s="342">
        <v>31545.489849090602</v>
      </c>
      <c r="I30" s="342">
        <v>30161.689970970201</v>
      </c>
      <c r="J30" s="342">
        <v>3206.4099993109699</v>
      </c>
      <c r="K30" s="343">
        <v>58500.769820749832</v>
      </c>
      <c r="L30" s="342">
        <v>33512.270074844397</v>
      </c>
      <c r="M30" s="342">
        <v>599</v>
      </c>
      <c r="N30" s="354">
        <v>471</v>
      </c>
      <c r="O30" s="343">
        <v>203.1066029723892</v>
      </c>
      <c r="P30" s="343">
        <v>130.68352425722063</v>
      </c>
      <c r="Q30" s="343">
        <v>131.01312063707178</v>
      </c>
      <c r="R30" s="344">
        <v>0.64504609264171497</v>
      </c>
      <c r="S30" s="344">
        <v>1.0576162372420592</v>
      </c>
      <c r="T30" s="343">
        <v>98165.42</v>
      </c>
      <c r="U30" s="342">
        <v>59815.3</v>
      </c>
      <c r="V30" s="342">
        <v>1339.54</v>
      </c>
      <c r="W30" s="344">
        <f t="shared" si="7"/>
        <v>2.239460472487808E-2</v>
      </c>
      <c r="X30" s="342">
        <v>3753.6600000000003</v>
      </c>
      <c r="Y30" s="344">
        <f t="shared" si="8"/>
        <v>6.2754178278801573E-2</v>
      </c>
      <c r="Z30" s="342">
        <v>1488.41</v>
      </c>
      <c r="AA30" s="344">
        <f t="shared" si="0"/>
        <v>2.4883432834074227E-2</v>
      </c>
      <c r="AB30" s="342">
        <v>510.1</v>
      </c>
      <c r="AC30" s="344">
        <f t="shared" si="1"/>
        <v>8.5279184422714597E-3</v>
      </c>
      <c r="AD30" s="342">
        <v>38350.119999999995</v>
      </c>
      <c r="AE30" s="342">
        <v>1933.05</v>
      </c>
      <c r="AF30" s="344">
        <f t="shared" si="2"/>
        <v>5.0405318158065746E-2</v>
      </c>
      <c r="AG30" s="342">
        <v>2042.61</v>
      </c>
      <c r="AH30" s="344">
        <f t="shared" si="3"/>
        <v>5.3262154068879061E-2</v>
      </c>
      <c r="AI30" s="342">
        <v>2621.7</v>
      </c>
      <c r="AJ30" s="344">
        <f t="shared" si="4"/>
        <v>6.8362237197693257E-2</v>
      </c>
      <c r="AK30" s="342">
        <v>5879.02</v>
      </c>
      <c r="AL30" s="784">
        <f t="shared" si="5"/>
        <v>0.15329860767058881</v>
      </c>
      <c r="AM30" s="350">
        <v>30.784693509658986</v>
      </c>
      <c r="AN30" s="350">
        <v>20.212376159057239</v>
      </c>
      <c r="AO30" s="350">
        <v>167.15147464768268</v>
      </c>
      <c r="AP30" s="639">
        <f t="shared" si="6"/>
        <v>5.2092752936951543E-2</v>
      </c>
    </row>
    <row r="31" spans="1:42" x14ac:dyDescent="0.2">
      <c r="A31" s="638">
        <v>42385</v>
      </c>
      <c r="B31" s="341" t="s">
        <v>136</v>
      </c>
      <c r="C31" s="351" t="s">
        <v>190</v>
      </c>
      <c r="D31" s="342">
        <v>181388.119999997</v>
      </c>
      <c r="E31" s="342">
        <v>8847</v>
      </c>
      <c r="F31" s="342">
        <v>172541.119999997</v>
      </c>
      <c r="G31" s="342">
        <v>114856.74977636299</v>
      </c>
      <c r="H31" s="342">
        <v>56265.249784946398</v>
      </c>
      <c r="I31" s="342">
        <v>58591.499991416902</v>
      </c>
      <c r="J31" s="342">
        <v>6764.3199934959403</v>
      </c>
      <c r="K31" s="343">
        <v>108092.42978286736</v>
      </c>
      <c r="L31" s="342">
        <v>53727.380167007403</v>
      </c>
      <c r="M31" s="342">
        <v>1257</v>
      </c>
      <c r="N31" s="354">
        <v>935</v>
      </c>
      <c r="O31" s="343">
        <v>193.99798930480964</v>
      </c>
      <c r="P31" s="343">
        <v>135.19116559678031</v>
      </c>
      <c r="Q31" s="343">
        <v>122.84144361108375</v>
      </c>
      <c r="R31" s="344">
        <v>0.63320988042858151</v>
      </c>
      <c r="S31" s="344">
        <v>0.96002429575848236</v>
      </c>
      <c r="T31" s="343">
        <v>161160.13</v>
      </c>
      <c r="U31" s="342">
        <v>107583.08</v>
      </c>
      <c r="V31" s="342">
        <v>1358.52</v>
      </c>
      <c r="W31" s="344">
        <f t="shared" si="7"/>
        <v>1.2627636241684101E-2</v>
      </c>
      <c r="X31" s="342">
        <v>8612.33</v>
      </c>
      <c r="Y31" s="344">
        <f t="shared" si="8"/>
        <v>8.0052829868786063E-2</v>
      </c>
      <c r="Z31" s="342">
        <v>3392.68</v>
      </c>
      <c r="AA31" s="344">
        <f t="shared" si="0"/>
        <v>3.1535442190351863E-2</v>
      </c>
      <c r="AB31" s="342">
        <v>1211.27</v>
      </c>
      <c r="AC31" s="344">
        <f t="shared" si="1"/>
        <v>1.1258926589571519E-2</v>
      </c>
      <c r="AD31" s="342">
        <v>53577.049999999996</v>
      </c>
      <c r="AE31" s="342">
        <v>6230.17</v>
      </c>
      <c r="AF31" s="344">
        <f t="shared" si="2"/>
        <v>0.11628430456697411</v>
      </c>
      <c r="AG31" s="342">
        <v>5669.27</v>
      </c>
      <c r="AH31" s="344">
        <f t="shared" si="3"/>
        <v>0.1058152697843573</v>
      </c>
      <c r="AI31" s="342">
        <v>4275.43</v>
      </c>
      <c r="AJ31" s="344">
        <f t="shared" si="4"/>
        <v>7.9799653023076123E-2</v>
      </c>
      <c r="AK31" s="342">
        <v>34634.519999999997</v>
      </c>
      <c r="AL31" s="784">
        <f t="shared" si="5"/>
        <v>0.64644320655952503</v>
      </c>
      <c r="AM31" s="350">
        <v>26.654468330120405</v>
      </c>
      <c r="AN31" s="350">
        <v>18.705641878295772</v>
      </c>
      <c r="AO31" s="350">
        <v>181.67870464564257</v>
      </c>
      <c r="AP31" s="639">
        <f t="shared" si="6"/>
        <v>5.3513606499564562E-2</v>
      </c>
    </row>
    <row r="32" spans="1:42" x14ac:dyDescent="0.2">
      <c r="A32" s="638">
        <v>42385</v>
      </c>
      <c r="B32" s="341" t="s">
        <v>136</v>
      </c>
      <c r="C32" s="351" t="s">
        <v>191</v>
      </c>
      <c r="D32" s="342">
        <v>136369.40999998001</v>
      </c>
      <c r="E32" s="342">
        <v>7072</v>
      </c>
      <c r="F32" s="342">
        <v>129297.40999997999</v>
      </c>
      <c r="G32" s="342">
        <v>81660.049799040004</v>
      </c>
      <c r="H32" s="342">
        <v>43551.9497900754</v>
      </c>
      <c r="I32" s="342">
        <v>38108.100008964502</v>
      </c>
      <c r="J32" s="342">
        <v>3904.8700079917899</v>
      </c>
      <c r="K32" s="343">
        <v>77755.179791048111</v>
      </c>
      <c r="L32" s="342">
        <v>44807.010177308701</v>
      </c>
      <c r="M32" s="342">
        <v>827.459999084473</v>
      </c>
      <c r="N32" s="354">
        <v>645</v>
      </c>
      <c r="O32" s="343">
        <v>211.42544186043412</v>
      </c>
      <c r="P32" s="343">
        <v>140.67432530788659</v>
      </c>
      <c r="Q32" s="343">
        <v>126.60472837060451</v>
      </c>
      <c r="R32" s="344">
        <v>0.59881501136546589</v>
      </c>
      <c r="S32" s="344">
        <v>0.94045818427262629</v>
      </c>
      <c r="T32" s="343">
        <v>109429.01000000001</v>
      </c>
      <c r="U32" s="342">
        <v>83541.25</v>
      </c>
      <c r="V32" s="342">
        <v>2456.1999999999998</v>
      </c>
      <c r="W32" s="344">
        <f t="shared" si="7"/>
        <v>2.9401044394236377E-2</v>
      </c>
      <c r="X32" s="342">
        <v>2377.15</v>
      </c>
      <c r="Y32" s="344">
        <f t="shared" si="8"/>
        <v>2.8454805260874121E-2</v>
      </c>
      <c r="Z32" s="342">
        <v>2209.61</v>
      </c>
      <c r="AA32" s="344">
        <f t="shared" si="0"/>
        <v>2.6449328924333788E-2</v>
      </c>
      <c r="AB32" s="342">
        <v>167.54</v>
      </c>
      <c r="AC32" s="344">
        <f t="shared" si="1"/>
        <v>2.0054763365403316E-3</v>
      </c>
      <c r="AD32" s="342">
        <v>25887.760000000002</v>
      </c>
      <c r="AE32" s="342">
        <v>4152.0200000000004</v>
      </c>
      <c r="AF32" s="344">
        <f t="shared" si="2"/>
        <v>0.16038544856719933</v>
      </c>
      <c r="AG32" s="342">
        <v>2488.5700000000002</v>
      </c>
      <c r="AH32" s="344">
        <f t="shared" si="3"/>
        <v>9.6129213188008544E-2</v>
      </c>
      <c r="AI32" s="342">
        <v>2374.3200000000002</v>
      </c>
      <c r="AJ32" s="344">
        <f t="shared" si="4"/>
        <v>9.171593061740374E-2</v>
      </c>
      <c r="AK32" s="342">
        <v>0</v>
      </c>
      <c r="AL32" s="784">
        <f t="shared" si="5"/>
        <v>0</v>
      </c>
      <c r="AM32" s="350">
        <v>24.073362933816913</v>
      </c>
      <c r="AN32" s="350">
        <v>19.383508919477876</v>
      </c>
      <c r="AO32" s="350">
        <v>109.81798642533938</v>
      </c>
      <c r="AP32" s="639">
        <f t="shared" si="6"/>
        <v>4.3036012539203847E-2</v>
      </c>
    </row>
    <row r="33" spans="1:42" x14ac:dyDescent="0.2">
      <c r="A33" s="638">
        <v>42385</v>
      </c>
      <c r="B33" s="341" t="s">
        <v>136</v>
      </c>
      <c r="C33" s="351" t="s">
        <v>192</v>
      </c>
      <c r="D33" s="342">
        <v>179369.20999999499</v>
      </c>
      <c r="E33" s="342">
        <v>10198</v>
      </c>
      <c r="F33" s="342">
        <v>169171.20999999499</v>
      </c>
      <c r="G33" s="342">
        <v>105050.10969212699</v>
      </c>
      <c r="H33" s="342">
        <v>54574.259679347299</v>
      </c>
      <c r="I33" s="342">
        <v>50475.850012779199</v>
      </c>
      <c r="J33" s="342">
        <v>4575.3700042367</v>
      </c>
      <c r="K33" s="343">
        <v>100474.7396878898</v>
      </c>
      <c r="L33" s="342">
        <v>53583.430195827001</v>
      </c>
      <c r="M33" s="342">
        <v>817.06999969482399</v>
      </c>
      <c r="N33" s="354">
        <v>1066</v>
      </c>
      <c r="O33" s="343">
        <v>168.26379924952624</v>
      </c>
      <c r="P33" s="343">
        <v>117.23143508862397</v>
      </c>
      <c r="Q33" s="343">
        <v>98.546069129574576</v>
      </c>
      <c r="R33" s="344">
        <v>0.58566411533021434</v>
      </c>
      <c r="S33" s="344">
        <v>0.87255748421326029</v>
      </c>
      <c r="T33" s="343">
        <v>136651.60999999999</v>
      </c>
      <c r="U33" s="342">
        <v>121203.87</v>
      </c>
      <c r="V33" s="342">
        <v>10025.9</v>
      </c>
      <c r="W33" s="344">
        <f t="shared" si="7"/>
        <v>8.2719305909951552E-2</v>
      </c>
      <c r="X33" s="342">
        <v>5937.17</v>
      </c>
      <c r="Y33" s="344">
        <f t="shared" si="8"/>
        <v>4.8984987030529635E-2</v>
      </c>
      <c r="Z33" s="342">
        <v>3745.49</v>
      </c>
      <c r="AA33" s="344">
        <f t="shared" si="0"/>
        <v>3.0902396103358744E-2</v>
      </c>
      <c r="AB33" s="342">
        <v>1269.79</v>
      </c>
      <c r="AC33" s="344">
        <f t="shared" si="1"/>
        <v>1.0476480660229744E-2</v>
      </c>
      <c r="AD33" s="342">
        <v>15447.740000000002</v>
      </c>
      <c r="AE33" s="342">
        <v>4681.93</v>
      </c>
      <c r="AF33" s="344">
        <f t="shared" si="2"/>
        <v>0.30308187475967358</v>
      </c>
      <c r="AG33" s="342">
        <v>3626.19</v>
      </c>
      <c r="AH33" s="344">
        <f t="shared" si="3"/>
        <v>0.23473919162285226</v>
      </c>
      <c r="AI33" s="342">
        <v>5049.7700000000004</v>
      </c>
      <c r="AJ33" s="344">
        <f t="shared" si="4"/>
        <v>0.32689377216343618</v>
      </c>
      <c r="AK33" s="342">
        <v>6443.91</v>
      </c>
      <c r="AL33" s="784">
        <f t="shared" si="5"/>
        <v>0.41714257231154844</v>
      </c>
      <c r="AM33" s="350">
        <v>22.855362411420078</v>
      </c>
      <c r="AN33" s="350">
        <v>21.493705105024123</v>
      </c>
      <c r="AO33" s="350">
        <v>45.443439890174552</v>
      </c>
      <c r="AP33" s="639">
        <f t="shared" si="6"/>
        <v>3.6612124838252338E-2</v>
      </c>
    </row>
    <row r="34" spans="1:42" x14ac:dyDescent="0.2">
      <c r="A34" s="638">
        <v>42385</v>
      </c>
      <c r="B34" s="341" t="s">
        <v>136</v>
      </c>
      <c r="C34" s="351" t="s">
        <v>193</v>
      </c>
      <c r="D34" s="342">
        <v>0</v>
      </c>
      <c r="E34" s="342">
        <v>0</v>
      </c>
      <c r="F34" s="342">
        <v>0</v>
      </c>
      <c r="G34" s="342">
        <v>0</v>
      </c>
      <c r="H34" s="342">
        <v>0</v>
      </c>
      <c r="I34" s="342">
        <v>0</v>
      </c>
      <c r="J34" s="342">
        <v>0</v>
      </c>
      <c r="K34" s="343">
        <v>0</v>
      </c>
      <c r="L34" s="342">
        <v>0</v>
      </c>
      <c r="M34" s="342">
        <v>0</v>
      </c>
      <c r="N34" s="354">
        <v>0</v>
      </c>
      <c r="O34" s="343" t="s">
        <v>311</v>
      </c>
      <c r="P34" s="343" t="s">
        <v>311</v>
      </c>
      <c r="Q34" s="343" t="s">
        <v>311</v>
      </c>
      <c r="R34" s="344" t="s">
        <v>312</v>
      </c>
      <c r="S34" s="344" t="s">
        <v>312</v>
      </c>
      <c r="T34" s="343">
        <v>32622.950000000004</v>
      </c>
      <c r="U34" s="342">
        <v>0</v>
      </c>
      <c r="V34" s="342">
        <v>0</v>
      </c>
      <c r="W34" s="344" t="str">
        <f t="shared" si="7"/>
        <v>0.00%</v>
      </c>
      <c r="X34" s="342">
        <v>0</v>
      </c>
      <c r="Y34" s="344" t="str">
        <f t="shared" si="8"/>
        <v>0.00%</v>
      </c>
      <c r="Z34" s="342">
        <v>0</v>
      </c>
      <c r="AA34" s="344">
        <f t="shared" si="0"/>
        <v>0</v>
      </c>
      <c r="AB34" s="342">
        <v>0</v>
      </c>
      <c r="AC34" s="344" t="str">
        <f t="shared" si="1"/>
        <v>0.00%</v>
      </c>
      <c r="AD34" s="342">
        <v>32622.950000000004</v>
      </c>
      <c r="AE34" s="342">
        <v>0</v>
      </c>
      <c r="AF34" s="344">
        <f t="shared" si="2"/>
        <v>0</v>
      </c>
      <c r="AG34" s="342">
        <v>0</v>
      </c>
      <c r="AH34" s="344">
        <f t="shared" si="3"/>
        <v>0</v>
      </c>
      <c r="AI34" s="342">
        <v>0</v>
      </c>
      <c r="AJ34" s="344">
        <f t="shared" si="4"/>
        <v>0</v>
      </c>
      <c r="AK34" s="342">
        <v>0</v>
      </c>
      <c r="AL34" s="784">
        <f t="shared" si="5"/>
        <v>0</v>
      </c>
      <c r="AM34" s="350" t="s">
        <v>313</v>
      </c>
      <c r="AN34" s="350" t="s">
        <v>313</v>
      </c>
      <c r="AO34" s="350" t="s">
        <v>313</v>
      </c>
      <c r="AP34" s="639" t="str">
        <f t="shared" si="6"/>
        <v>0.00%</v>
      </c>
    </row>
    <row r="35" spans="1:42" x14ac:dyDescent="0.2">
      <c r="A35" s="638">
        <v>42385</v>
      </c>
      <c r="B35" s="341" t="s">
        <v>136</v>
      </c>
      <c r="C35" s="351" t="s">
        <v>194</v>
      </c>
      <c r="D35" s="342">
        <v>105534.059999987</v>
      </c>
      <c r="E35" s="342">
        <v>6163</v>
      </c>
      <c r="F35" s="342">
        <v>99371.059999987498</v>
      </c>
      <c r="G35" s="342">
        <v>58979.529853537701</v>
      </c>
      <c r="H35" s="342">
        <v>28927.119840338801</v>
      </c>
      <c r="I35" s="342">
        <v>30052.4100131989</v>
      </c>
      <c r="J35" s="342">
        <v>2052.57000586391</v>
      </c>
      <c r="K35" s="343">
        <v>56926.959847673788</v>
      </c>
      <c r="L35" s="342">
        <v>29513.1200804859</v>
      </c>
      <c r="M35" s="342">
        <v>525</v>
      </c>
      <c r="N35" s="354">
        <v>502</v>
      </c>
      <c r="O35" s="343">
        <v>210.22721115535359</v>
      </c>
      <c r="P35" s="343">
        <v>150.39031856474423</v>
      </c>
      <c r="Q35" s="343">
        <v>117.4891032938998</v>
      </c>
      <c r="R35" s="344">
        <v>0.55886724962106726</v>
      </c>
      <c r="S35" s="344">
        <v>0.8030613236142613</v>
      </c>
      <c r="T35" s="343">
        <v>93375.22</v>
      </c>
      <c r="U35" s="342">
        <v>58991.29</v>
      </c>
      <c r="V35" s="342">
        <v>311.69</v>
      </c>
      <c r="W35" s="344">
        <f t="shared" si="7"/>
        <v>5.2836613676357979E-3</v>
      </c>
      <c r="X35" s="342">
        <v>0</v>
      </c>
      <c r="Y35" s="344">
        <f t="shared" si="8"/>
        <v>0</v>
      </c>
      <c r="Z35" s="342">
        <v>0</v>
      </c>
      <c r="AA35" s="344">
        <f t="shared" si="0"/>
        <v>0</v>
      </c>
      <c r="AB35" s="342">
        <v>0</v>
      </c>
      <c r="AC35" s="344">
        <f t="shared" si="1"/>
        <v>0</v>
      </c>
      <c r="AD35" s="342">
        <v>34383.93</v>
      </c>
      <c r="AE35" s="342">
        <v>1654.37</v>
      </c>
      <c r="AF35" s="344">
        <f t="shared" si="2"/>
        <v>4.8114627967192812E-2</v>
      </c>
      <c r="AG35" s="342">
        <v>786.96</v>
      </c>
      <c r="AH35" s="344">
        <f t="shared" si="3"/>
        <v>2.2887436078423844E-2</v>
      </c>
      <c r="AI35" s="342">
        <v>0</v>
      </c>
      <c r="AJ35" s="344">
        <f t="shared" si="4"/>
        <v>0</v>
      </c>
      <c r="AK35" s="342">
        <v>0</v>
      </c>
      <c r="AL35" s="784">
        <f t="shared" si="5"/>
        <v>0</v>
      </c>
      <c r="AM35" s="350">
        <v>26.543625820899386</v>
      </c>
      <c r="AN35" s="350">
        <v>17.809397424161752</v>
      </c>
      <c r="AO35" s="350">
        <v>167.37269187084212</v>
      </c>
      <c r="AP35" s="639">
        <f t="shared" si="6"/>
        <v>2.718781974305505E-2</v>
      </c>
    </row>
    <row r="36" spans="1:42" x14ac:dyDescent="0.2">
      <c r="A36" s="638">
        <v>42385</v>
      </c>
      <c r="B36" s="341" t="s">
        <v>136</v>
      </c>
      <c r="C36" s="351" t="s">
        <v>195</v>
      </c>
      <c r="D36" s="342">
        <v>40684.559999998703</v>
      </c>
      <c r="E36" s="342">
        <v>1400</v>
      </c>
      <c r="F36" s="342">
        <v>39284.559999998703</v>
      </c>
      <c r="G36" s="342">
        <v>24735.509938061201</v>
      </c>
      <c r="H36" s="342">
        <v>15004.829940617101</v>
      </c>
      <c r="I36" s="342">
        <v>9730.6799974441492</v>
      </c>
      <c r="J36" s="342">
        <v>517.55000263452496</v>
      </c>
      <c r="K36" s="343">
        <v>24217.959935426727</v>
      </c>
      <c r="L36" s="342">
        <v>14863.220062255899</v>
      </c>
      <c r="M36" s="342">
        <v>237</v>
      </c>
      <c r="N36" s="354">
        <v>244</v>
      </c>
      <c r="O36" s="343">
        <v>166.73999999999469</v>
      </c>
      <c r="P36" s="343">
        <v>104.85385220386395</v>
      </c>
      <c r="Q36" s="343">
        <v>101.37504072975923</v>
      </c>
      <c r="R36" s="344">
        <v>0.6079827319765051</v>
      </c>
      <c r="S36" s="344">
        <v>0.9867841076617857</v>
      </c>
      <c r="T36" s="343">
        <v>22036.6</v>
      </c>
      <c r="U36" s="342">
        <v>22036.6</v>
      </c>
      <c r="V36" s="342">
        <v>0</v>
      </c>
      <c r="W36" s="344">
        <f t="shared" si="7"/>
        <v>0</v>
      </c>
      <c r="X36" s="342">
        <v>0</v>
      </c>
      <c r="Y36" s="344">
        <f t="shared" si="8"/>
        <v>0</v>
      </c>
      <c r="Z36" s="342">
        <v>0</v>
      </c>
      <c r="AA36" s="344">
        <f t="shared" si="0"/>
        <v>0</v>
      </c>
      <c r="AB36" s="342">
        <v>0</v>
      </c>
      <c r="AC36" s="344">
        <f t="shared" si="1"/>
        <v>0</v>
      </c>
      <c r="AD36" s="342">
        <v>0</v>
      </c>
      <c r="AE36" s="342">
        <v>0</v>
      </c>
      <c r="AF36" s="344" t="str">
        <f t="shared" si="2"/>
        <v>0.00%</v>
      </c>
      <c r="AG36" s="342">
        <v>0</v>
      </c>
      <c r="AH36" s="344" t="str">
        <f t="shared" si="3"/>
        <v>0.00%</v>
      </c>
      <c r="AI36" s="342">
        <v>0</v>
      </c>
      <c r="AJ36" s="344">
        <f t="shared" si="4"/>
        <v>0</v>
      </c>
      <c r="AK36" s="342">
        <v>0</v>
      </c>
      <c r="AL36" s="784" t="str">
        <f t="shared" si="5"/>
        <v>0.00%</v>
      </c>
      <c r="AM36" s="350">
        <v>16.249358478991073</v>
      </c>
      <c r="AN36" s="350">
        <v>16.828443541178054</v>
      </c>
      <c r="AO36" s="350">
        <v>0</v>
      </c>
      <c r="AP36" s="639">
        <f t="shared" si="6"/>
        <v>2.0229171590665871E-2</v>
      </c>
    </row>
    <row r="37" spans="1:42" x14ac:dyDescent="0.2">
      <c r="A37" s="638">
        <v>42385</v>
      </c>
      <c r="B37" s="341" t="s">
        <v>136</v>
      </c>
      <c r="C37" s="351" t="s">
        <v>196</v>
      </c>
      <c r="D37" s="342">
        <v>0</v>
      </c>
      <c r="E37" s="342">
        <v>0</v>
      </c>
      <c r="F37" s="342">
        <v>0</v>
      </c>
      <c r="G37" s="342">
        <v>0</v>
      </c>
      <c r="H37" s="342">
        <v>0</v>
      </c>
      <c r="I37" s="342">
        <v>0</v>
      </c>
      <c r="J37" s="342">
        <v>0</v>
      </c>
      <c r="K37" s="343">
        <v>0</v>
      </c>
      <c r="L37" s="342">
        <v>0</v>
      </c>
      <c r="M37" s="342">
        <v>0</v>
      </c>
      <c r="N37" s="354">
        <v>0</v>
      </c>
      <c r="O37" s="343" t="s">
        <v>311</v>
      </c>
      <c r="P37" s="343" t="s">
        <v>311</v>
      </c>
      <c r="Q37" s="343" t="s">
        <v>311</v>
      </c>
      <c r="R37" s="344" t="s">
        <v>312</v>
      </c>
      <c r="S37" s="344" t="s">
        <v>312</v>
      </c>
      <c r="T37" s="343">
        <v>0</v>
      </c>
      <c r="U37" s="342">
        <v>0</v>
      </c>
      <c r="V37" s="342">
        <v>0</v>
      </c>
      <c r="W37" s="344" t="str">
        <f t="shared" si="7"/>
        <v>0.00%</v>
      </c>
      <c r="X37" s="342">
        <v>0</v>
      </c>
      <c r="Y37" s="344" t="str">
        <f t="shared" si="8"/>
        <v>0.00%</v>
      </c>
      <c r="Z37" s="342">
        <v>0</v>
      </c>
      <c r="AA37" s="344">
        <f t="shared" si="0"/>
        <v>0</v>
      </c>
      <c r="AB37" s="342">
        <v>0</v>
      </c>
      <c r="AC37" s="344" t="str">
        <f t="shared" si="1"/>
        <v>0.00%</v>
      </c>
      <c r="AD37" s="342">
        <v>0</v>
      </c>
      <c r="AE37" s="342">
        <v>0</v>
      </c>
      <c r="AF37" s="344" t="str">
        <f t="shared" si="2"/>
        <v>0.00%</v>
      </c>
      <c r="AG37" s="342">
        <v>0</v>
      </c>
      <c r="AH37" s="344" t="str">
        <f t="shared" si="3"/>
        <v>0.00%</v>
      </c>
      <c r="AI37" s="342">
        <v>0</v>
      </c>
      <c r="AJ37" s="344">
        <f t="shared" si="4"/>
        <v>0</v>
      </c>
      <c r="AK37" s="342">
        <v>0</v>
      </c>
      <c r="AL37" s="784" t="str">
        <f t="shared" si="5"/>
        <v>0.00%</v>
      </c>
      <c r="AM37" s="350" t="s">
        <v>313</v>
      </c>
      <c r="AN37" s="350" t="s">
        <v>313</v>
      </c>
      <c r="AO37" s="350" t="s">
        <v>313</v>
      </c>
      <c r="AP37" s="639" t="str">
        <f t="shared" si="6"/>
        <v>0.00%</v>
      </c>
    </row>
    <row r="38" spans="1:42" x14ac:dyDescent="0.2">
      <c r="A38" s="638">
        <v>42385</v>
      </c>
      <c r="B38" s="342" t="s">
        <v>136</v>
      </c>
      <c r="C38" s="637" t="s">
        <v>290</v>
      </c>
      <c r="D38" s="342">
        <v>0</v>
      </c>
      <c r="E38" s="342">
        <v>0</v>
      </c>
      <c r="F38" s="342">
        <v>0</v>
      </c>
      <c r="G38" s="342">
        <v>0</v>
      </c>
      <c r="H38" s="342">
        <v>0</v>
      </c>
      <c r="I38" s="342">
        <v>0</v>
      </c>
      <c r="J38" s="342">
        <v>0</v>
      </c>
      <c r="K38" s="343">
        <v>0</v>
      </c>
      <c r="L38" s="342">
        <v>0</v>
      </c>
      <c r="M38" s="342">
        <v>0</v>
      </c>
      <c r="N38" s="353">
        <v>0</v>
      </c>
      <c r="O38" s="343" t="s">
        <v>311</v>
      </c>
      <c r="P38" s="343" t="s">
        <v>311</v>
      </c>
      <c r="Q38" s="343" t="s">
        <v>311</v>
      </c>
      <c r="R38" s="344" t="s">
        <v>312</v>
      </c>
      <c r="S38" s="344" t="s">
        <v>312</v>
      </c>
      <c r="T38" s="343">
        <v>0</v>
      </c>
      <c r="U38" s="342">
        <v>0</v>
      </c>
      <c r="V38" s="342">
        <v>0</v>
      </c>
      <c r="W38" s="344" t="str">
        <f t="shared" si="7"/>
        <v>0.00%</v>
      </c>
      <c r="X38" s="342">
        <v>0</v>
      </c>
      <c r="Y38" s="344" t="str">
        <f t="shared" si="8"/>
        <v>0.00%</v>
      </c>
      <c r="Z38" s="342">
        <v>0</v>
      </c>
      <c r="AA38" s="344">
        <f t="shared" si="0"/>
        <v>0</v>
      </c>
      <c r="AB38" s="342">
        <v>0</v>
      </c>
      <c r="AC38" s="344" t="str">
        <f t="shared" si="1"/>
        <v>0.00%</v>
      </c>
      <c r="AD38" s="342">
        <v>0</v>
      </c>
      <c r="AE38" s="342">
        <v>0</v>
      </c>
      <c r="AF38" s="344" t="str">
        <f t="shared" si="2"/>
        <v>0.00%</v>
      </c>
      <c r="AG38" s="342">
        <v>0</v>
      </c>
      <c r="AH38" s="344" t="str">
        <f t="shared" si="3"/>
        <v>0.00%</v>
      </c>
      <c r="AI38" s="342">
        <v>0</v>
      </c>
      <c r="AJ38" s="344">
        <f t="shared" si="4"/>
        <v>0</v>
      </c>
      <c r="AK38" s="342">
        <v>0</v>
      </c>
      <c r="AL38" s="784" t="str">
        <f t="shared" si="5"/>
        <v>0.00%</v>
      </c>
      <c r="AM38" s="350" t="s">
        <v>313</v>
      </c>
      <c r="AN38" s="350" t="s">
        <v>313</v>
      </c>
      <c r="AO38" s="350" t="s">
        <v>313</v>
      </c>
      <c r="AP38" s="639" t="str">
        <f t="shared" si="6"/>
        <v>0.00%</v>
      </c>
    </row>
    <row r="39" spans="1:42" x14ac:dyDescent="0.2">
      <c r="A39" s="638">
        <v>42385</v>
      </c>
      <c r="B39" s="341" t="s">
        <v>137</v>
      </c>
      <c r="C39" s="351" t="s">
        <v>209</v>
      </c>
      <c r="D39" s="342">
        <v>3967</v>
      </c>
      <c r="E39" s="342">
        <v>472</v>
      </c>
      <c r="F39" s="342">
        <v>3495</v>
      </c>
      <c r="G39" s="342">
        <v>1397</v>
      </c>
      <c r="H39" s="342">
        <v>0</v>
      </c>
      <c r="I39" s="342">
        <v>1397</v>
      </c>
      <c r="J39" s="342">
        <v>0</v>
      </c>
      <c r="K39" s="343">
        <v>1397</v>
      </c>
      <c r="L39" s="342">
        <v>0</v>
      </c>
      <c r="M39" s="342">
        <v>0</v>
      </c>
      <c r="N39" s="354">
        <v>21</v>
      </c>
      <c r="O39" s="343">
        <v>188.9047619047619</v>
      </c>
      <c r="P39" s="343">
        <v>188.9047619047619</v>
      </c>
      <c r="Q39" s="343">
        <v>66.523809523809518</v>
      </c>
      <c r="R39" s="344">
        <v>0.35215528106881777</v>
      </c>
      <c r="S39" s="344">
        <v>0.35215528106881777</v>
      </c>
      <c r="T39" s="343">
        <v>2751.34</v>
      </c>
      <c r="U39" s="342">
        <v>2760</v>
      </c>
      <c r="V39" s="342">
        <v>0</v>
      </c>
      <c r="W39" s="344">
        <f t="shared" si="7"/>
        <v>0</v>
      </c>
      <c r="X39" s="342">
        <v>0</v>
      </c>
      <c r="Y39" s="344">
        <f t="shared" si="8"/>
        <v>0</v>
      </c>
      <c r="Z39" s="342">
        <v>0</v>
      </c>
      <c r="AA39" s="344">
        <f t="shared" si="0"/>
        <v>0</v>
      </c>
      <c r="AB39" s="342">
        <v>0</v>
      </c>
      <c r="AC39" s="344">
        <f t="shared" si="1"/>
        <v>0</v>
      </c>
      <c r="AD39" s="342">
        <v>-8.66</v>
      </c>
      <c r="AE39" s="342">
        <v>0</v>
      </c>
      <c r="AF39" s="344">
        <f t="shared" si="2"/>
        <v>0</v>
      </c>
      <c r="AG39" s="342">
        <v>0</v>
      </c>
      <c r="AH39" s="344">
        <f t="shared" si="3"/>
        <v>0</v>
      </c>
      <c r="AI39" s="342">
        <v>0</v>
      </c>
      <c r="AJ39" s="344">
        <f t="shared" si="4"/>
        <v>0</v>
      </c>
      <c r="AK39" s="342">
        <v>0</v>
      </c>
      <c r="AL39" s="784">
        <f t="shared" si="5"/>
        <v>0</v>
      </c>
      <c r="AM39" s="350">
        <v>20.806705318880766</v>
      </c>
      <c r="AN39" s="350">
        <v>23.690987124463518</v>
      </c>
      <c r="AO39" s="350">
        <v>-0.55042372881355928</v>
      </c>
      <c r="AP39" s="639">
        <f t="shared" si="6"/>
        <v>0</v>
      </c>
    </row>
    <row r="40" spans="1:42" x14ac:dyDescent="0.2">
      <c r="A40" s="638">
        <v>42385</v>
      </c>
      <c r="B40" s="341" t="s">
        <v>137</v>
      </c>
      <c r="C40" s="351" t="s">
        <v>197</v>
      </c>
      <c r="D40" s="342">
        <v>136213.50999326399</v>
      </c>
      <c r="E40" s="342">
        <v>9465</v>
      </c>
      <c r="F40" s="342">
        <v>126748.509993264</v>
      </c>
      <c r="G40" s="342">
        <v>84631.079900741606</v>
      </c>
      <c r="H40" s="342">
        <v>45043.409904480002</v>
      </c>
      <c r="I40" s="342">
        <v>39587.669996261597</v>
      </c>
      <c r="J40" s="342">
        <v>1129.1799983978301</v>
      </c>
      <c r="K40" s="343">
        <v>83501.899902343779</v>
      </c>
      <c r="L40" s="342">
        <v>33910.030210971803</v>
      </c>
      <c r="M40" s="342">
        <v>485</v>
      </c>
      <c r="N40" s="354">
        <v>674</v>
      </c>
      <c r="O40" s="343">
        <v>202.09719583570325</v>
      </c>
      <c r="P40" s="343">
        <v>151.06599374227326</v>
      </c>
      <c r="Q40" s="343">
        <v>125.56540044620417</v>
      </c>
      <c r="R40" s="344">
        <v>0.62131193818386132</v>
      </c>
      <c r="S40" s="344">
        <v>0.84051711634088333</v>
      </c>
      <c r="T40" s="343">
        <v>84712.6</v>
      </c>
      <c r="U40" s="342">
        <v>84747.6</v>
      </c>
      <c r="V40" s="342">
        <v>0</v>
      </c>
      <c r="W40" s="344">
        <f t="shared" si="7"/>
        <v>0</v>
      </c>
      <c r="X40" s="342">
        <v>0</v>
      </c>
      <c r="Y40" s="344">
        <f t="shared" si="8"/>
        <v>0</v>
      </c>
      <c r="Z40" s="342">
        <v>0</v>
      </c>
      <c r="AA40" s="344">
        <f t="shared" si="0"/>
        <v>0</v>
      </c>
      <c r="AB40" s="342">
        <v>0</v>
      </c>
      <c r="AC40" s="344">
        <f t="shared" si="1"/>
        <v>0</v>
      </c>
      <c r="AD40" s="342">
        <v>-35</v>
      </c>
      <c r="AE40" s="342">
        <v>25</v>
      </c>
      <c r="AF40" s="344">
        <v>0</v>
      </c>
      <c r="AG40" s="342">
        <v>0</v>
      </c>
      <c r="AH40" s="344">
        <f t="shared" si="3"/>
        <v>0</v>
      </c>
      <c r="AI40" s="342">
        <v>0</v>
      </c>
      <c r="AJ40" s="344">
        <f t="shared" si="4"/>
        <v>0</v>
      </c>
      <c r="AK40" s="342">
        <v>0</v>
      </c>
      <c r="AL40" s="784">
        <f t="shared" si="5"/>
        <v>0</v>
      </c>
      <c r="AM40" s="350">
        <v>18.657312333598011</v>
      </c>
      <c r="AN40" s="350">
        <v>20.058839351524657</v>
      </c>
      <c r="AO40" s="350">
        <v>-0.11093502377179082</v>
      </c>
      <c r="AP40" s="639">
        <f t="shared" si="6"/>
        <v>1.1090128244030334E-2</v>
      </c>
    </row>
    <row r="41" spans="1:42" x14ac:dyDescent="0.2">
      <c r="A41" s="638">
        <v>42385</v>
      </c>
      <c r="B41" s="341" t="s">
        <v>137</v>
      </c>
      <c r="C41" s="351" t="s">
        <v>198</v>
      </c>
      <c r="D41" s="342">
        <v>0</v>
      </c>
      <c r="E41" s="342">
        <v>0</v>
      </c>
      <c r="F41" s="342">
        <v>0</v>
      </c>
      <c r="G41" s="342">
        <v>0</v>
      </c>
      <c r="H41" s="342">
        <v>0</v>
      </c>
      <c r="I41" s="342">
        <v>0</v>
      </c>
      <c r="J41" s="342">
        <v>0</v>
      </c>
      <c r="K41" s="343">
        <v>0</v>
      </c>
      <c r="L41" s="342">
        <v>0</v>
      </c>
      <c r="M41" s="342">
        <v>0</v>
      </c>
      <c r="N41" s="354">
        <v>0</v>
      </c>
      <c r="O41" s="343" t="s">
        <v>311</v>
      </c>
      <c r="P41" s="343" t="s">
        <v>311</v>
      </c>
      <c r="Q41" s="343" t="s">
        <v>311</v>
      </c>
      <c r="R41" s="344" t="s">
        <v>312</v>
      </c>
      <c r="S41" s="344" t="s">
        <v>312</v>
      </c>
      <c r="T41" s="343">
        <v>-20</v>
      </c>
      <c r="U41" s="342">
        <v>0</v>
      </c>
      <c r="V41" s="342">
        <v>0</v>
      </c>
      <c r="W41" s="344" t="str">
        <f t="shared" si="7"/>
        <v>0.00%</v>
      </c>
      <c r="X41" s="342">
        <v>0</v>
      </c>
      <c r="Y41" s="344" t="str">
        <f t="shared" si="8"/>
        <v>0.00%</v>
      </c>
      <c r="Z41" s="342">
        <v>0</v>
      </c>
      <c r="AA41" s="344">
        <f t="shared" si="0"/>
        <v>0</v>
      </c>
      <c r="AB41" s="342">
        <v>0</v>
      </c>
      <c r="AC41" s="344" t="str">
        <f t="shared" si="1"/>
        <v>0.00%</v>
      </c>
      <c r="AD41" s="342">
        <v>-20</v>
      </c>
      <c r="AE41" s="342">
        <v>0</v>
      </c>
      <c r="AF41" s="344">
        <f t="shared" si="2"/>
        <v>0</v>
      </c>
      <c r="AG41" s="342">
        <v>0</v>
      </c>
      <c r="AH41" s="344">
        <f t="shared" si="3"/>
        <v>0</v>
      </c>
      <c r="AI41" s="342">
        <v>0</v>
      </c>
      <c r="AJ41" s="344">
        <f t="shared" si="4"/>
        <v>0</v>
      </c>
      <c r="AK41" s="342">
        <v>63.93</v>
      </c>
      <c r="AL41" s="784">
        <v>0</v>
      </c>
      <c r="AM41" s="350" t="s">
        <v>313</v>
      </c>
      <c r="AN41" s="350" t="s">
        <v>313</v>
      </c>
      <c r="AO41" s="350" t="s">
        <v>313</v>
      </c>
      <c r="AP41" s="639" t="str">
        <f t="shared" si="6"/>
        <v>0.00%</v>
      </c>
    </row>
    <row r="42" spans="1:42" x14ac:dyDescent="0.2">
      <c r="A42" s="638">
        <v>42385</v>
      </c>
      <c r="B42" s="341" t="s">
        <v>137</v>
      </c>
      <c r="C42" s="351" t="s">
        <v>199</v>
      </c>
      <c r="D42" s="342">
        <v>238391.70999997301</v>
      </c>
      <c r="E42" s="342">
        <v>11799</v>
      </c>
      <c r="F42" s="342">
        <v>226592.70999997301</v>
      </c>
      <c r="G42" s="342">
        <v>175177.32966694201</v>
      </c>
      <c r="H42" s="342">
        <v>102033.09969213601</v>
      </c>
      <c r="I42" s="342">
        <v>73144.229974806294</v>
      </c>
      <c r="J42" s="342">
        <v>8804.1300070285797</v>
      </c>
      <c r="K42" s="343">
        <v>166373.19965991372</v>
      </c>
      <c r="L42" s="342">
        <v>70028.330238113194</v>
      </c>
      <c r="M42" s="342">
        <v>1043.9099979400601</v>
      </c>
      <c r="N42" s="354">
        <v>1220</v>
      </c>
      <c r="O42" s="343">
        <v>195.40304098358445</v>
      </c>
      <c r="P42" s="343">
        <v>137.14710636386866</v>
      </c>
      <c r="Q42" s="343">
        <v>143.58797513683794</v>
      </c>
      <c r="R42" s="344">
        <v>0.73482978777643793</v>
      </c>
      <c r="S42" s="344">
        <v>1.1051127918320394</v>
      </c>
      <c r="T42" s="343">
        <v>241760.63</v>
      </c>
      <c r="U42" s="342">
        <v>154642.06</v>
      </c>
      <c r="V42" s="342">
        <v>3393.58</v>
      </c>
      <c r="W42" s="344">
        <f t="shared" si="7"/>
        <v>2.1944741294832724E-2</v>
      </c>
      <c r="X42" s="342">
        <v>15959.400000000001</v>
      </c>
      <c r="Y42" s="344">
        <f t="shared" si="8"/>
        <v>0.10320219479745679</v>
      </c>
      <c r="Z42" s="342">
        <v>6479.94</v>
      </c>
      <c r="AA42" s="344">
        <f t="shared" si="0"/>
        <v>4.1902830316668048E-2</v>
      </c>
      <c r="AB42" s="342">
        <v>2046.66</v>
      </c>
      <c r="AC42" s="344">
        <f t="shared" si="1"/>
        <v>1.3234821108823822E-2</v>
      </c>
      <c r="AD42" s="342">
        <v>87118.57</v>
      </c>
      <c r="AE42" s="342">
        <v>6329.58</v>
      </c>
      <c r="AF42" s="344">
        <f t="shared" si="2"/>
        <v>7.2654773832949729E-2</v>
      </c>
      <c r="AG42" s="342">
        <v>6097.29</v>
      </c>
      <c r="AH42" s="344">
        <f t="shared" si="3"/>
        <v>6.9988407752790249E-2</v>
      </c>
      <c r="AI42" s="342">
        <v>5178.6499999999996</v>
      </c>
      <c r="AJ42" s="344">
        <f t="shared" si="4"/>
        <v>5.9443698398630729E-2</v>
      </c>
      <c r="AK42" s="342">
        <v>83624.740000000005</v>
      </c>
      <c r="AL42" s="784">
        <f t="shared" si="5"/>
        <v>0.9598956915844693</v>
      </c>
      <c r="AM42" s="350">
        <v>30.423956017601537</v>
      </c>
      <c r="AN42" s="350">
        <v>20.474011719090839</v>
      </c>
      <c r="AO42" s="350">
        <v>221.50666158148996</v>
      </c>
      <c r="AP42" s="639">
        <f t="shared" si="6"/>
        <v>5.2618682209851671E-2</v>
      </c>
    </row>
    <row r="43" spans="1:42" x14ac:dyDescent="0.2">
      <c r="A43" s="638">
        <v>42385</v>
      </c>
      <c r="B43" s="341" t="s">
        <v>137</v>
      </c>
      <c r="C43" s="351" t="s">
        <v>200</v>
      </c>
      <c r="D43" s="342">
        <v>0</v>
      </c>
      <c r="E43" s="342">
        <v>0</v>
      </c>
      <c r="F43" s="342">
        <v>0</v>
      </c>
      <c r="G43" s="342">
        <v>1567.54000782967</v>
      </c>
      <c r="H43" s="342">
        <v>989.67000484466598</v>
      </c>
      <c r="I43" s="342">
        <v>577.87000298500095</v>
      </c>
      <c r="J43" s="342">
        <v>65</v>
      </c>
      <c r="K43" s="343">
        <v>1502.540007829667</v>
      </c>
      <c r="L43" s="342">
        <v>904.35999202728306</v>
      </c>
      <c r="M43" s="342">
        <v>350.97000122070301</v>
      </c>
      <c r="N43" s="354">
        <v>0</v>
      </c>
      <c r="O43" s="343" t="s">
        <v>311</v>
      </c>
      <c r="P43" s="343" t="s">
        <v>311</v>
      </c>
      <c r="Q43" s="343" t="s">
        <v>311</v>
      </c>
      <c r="R43" s="344" t="s">
        <v>312</v>
      </c>
      <c r="S43" s="344">
        <v>-1.1872335066580963</v>
      </c>
      <c r="T43" s="343">
        <v>24841.19</v>
      </c>
      <c r="U43" s="342">
        <v>1453.21</v>
      </c>
      <c r="V43" s="342">
        <v>354.04</v>
      </c>
      <c r="W43" s="344">
        <f t="shared" si="7"/>
        <v>0.24362617928585684</v>
      </c>
      <c r="X43" s="342">
        <v>1099.17</v>
      </c>
      <c r="Y43" s="344">
        <f t="shared" si="8"/>
        <v>0.75637382071414316</v>
      </c>
      <c r="Z43" s="342">
        <v>87</v>
      </c>
      <c r="AA43" s="344">
        <f t="shared" si="0"/>
        <v>5.9867465817053281E-2</v>
      </c>
      <c r="AB43" s="342">
        <v>0</v>
      </c>
      <c r="AC43" s="344">
        <f t="shared" si="1"/>
        <v>0</v>
      </c>
      <c r="AD43" s="342">
        <v>23387.98</v>
      </c>
      <c r="AE43" s="342">
        <v>137.94</v>
      </c>
      <c r="AF43" s="344">
        <f t="shared" si="2"/>
        <v>5.8979014006340005E-3</v>
      </c>
      <c r="AG43" s="342">
        <v>22.01</v>
      </c>
      <c r="AH43" s="344">
        <f t="shared" si="3"/>
        <v>9.4108170094210793E-4</v>
      </c>
      <c r="AI43" s="342">
        <v>399.85</v>
      </c>
      <c r="AJ43" s="344">
        <f t="shared" si="4"/>
        <v>1.7096388828791543E-2</v>
      </c>
      <c r="AK43" s="342">
        <v>4970.33</v>
      </c>
      <c r="AL43" s="784">
        <f t="shared" si="5"/>
        <v>0.21251642937953599</v>
      </c>
      <c r="AM43" s="350" t="s">
        <v>313</v>
      </c>
      <c r="AN43" s="350" t="s">
        <v>313</v>
      </c>
      <c r="AO43" s="350" t="s">
        <v>313</v>
      </c>
      <c r="AP43" s="639">
        <f t="shared" si="6"/>
        <v>-5.1779213712421411E-2</v>
      </c>
    </row>
    <row r="44" spans="1:42" x14ac:dyDescent="0.2">
      <c r="A44" s="638">
        <v>42385</v>
      </c>
      <c r="B44" s="341" t="s">
        <v>137</v>
      </c>
      <c r="C44" s="351" t="s">
        <v>201</v>
      </c>
      <c r="D44" s="342">
        <v>253886.020000402</v>
      </c>
      <c r="E44" s="342">
        <v>9308</v>
      </c>
      <c r="F44" s="342">
        <v>244578.020000402</v>
      </c>
      <c r="G44" s="342">
        <v>177859.78987696601</v>
      </c>
      <c r="H44" s="342">
        <v>117356.399862437</v>
      </c>
      <c r="I44" s="342">
        <v>60503.390014529199</v>
      </c>
      <c r="J44" s="342">
        <v>5325.9400018453598</v>
      </c>
      <c r="K44" s="343">
        <v>172533.84987512085</v>
      </c>
      <c r="L44" s="342">
        <v>83296.480316670597</v>
      </c>
      <c r="M44" s="342">
        <v>1062.1999988555899</v>
      </c>
      <c r="N44" s="354">
        <v>1254</v>
      </c>
      <c r="O44" s="343">
        <v>202.46094098915631</v>
      </c>
      <c r="P44" s="343">
        <v>135.18926609639217</v>
      </c>
      <c r="Q44" s="343">
        <v>141.83396321927131</v>
      </c>
      <c r="R44" s="344">
        <v>0.70054975802403219</v>
      </c>
      <c r="S44" s="344">
        <v>1.0831807172186201</v>
      </c>
      <c r="T44" s="343">
        <v>239104.03</v>
      </c>
      <c r="U44" s="342">
        <v>209874.6</v>
      </c>
      <c r="V44" s="342">
        <v>7433.5</v>
      </c>
      <c r="W44" s="344">
        <f t="shared" si="7"/>
        <v>3.5418769112603429E-2</v>
      </c>
      <c r="X44" s="342">
        <v>28223.839999999997</v>
      </c>
      <c r="Y44" s="344">
        <f t="shared" si="8"/>
        <v>0.13447954159293213</v>
      </c>
      <c r="Z44" s="342">
        <v>6473.81</v>
      </c>
      <c r="AA44" s="344">
        <f t="shared" si="0"/>
        <v>3.0846086186703869E-2</v>
      </c>
      <c r="AB44" s="342">
        <v>7397.15</v>
      </c>
      <c r="AC44" s="344">
        <f t="shared" si="1"/>
        <v>3.5245570450164049E-2</v>
      </c>
      <c r="AD44" s="342">
        <f>SUM(AE44,AG44,AI44,AK44)</f>
        <v>166535.25</v>
      </c>
      <c r="AE44" s="342">
        <v>8350.98</v>
      </c>
      <c r="AF44" s="344">
        <f t="shared" si="2"/>
        <v>5.0145419663404592E-2</v>
      </c>
      <c r="AG44" s="342">
        <v>8512.85</v>
      </c>
      <c r="AH44" s="344">
        <f t="shared" si="3"/>
        <v>5.1117406074689897E-2</v>
      </c>
      <c r="AI44" s="342">
        <v>5678.35</v>
      </c>
      <c r="AJ44" s="344">
        <f t="shared" si="4"/>
        <v>3.4096985473045502E-2</v>
      </c>
      <c r="AK44" s="342">
        <v>143993.07</v>
      </c>
      <c r="AL44" s="784">
        <f t="shared" si="5"/>
        <v>0.86464018878886006</v>
      </c>
      <c r="AM44" s="350">
        <v>28.253311860135671</v>
      </c>
      <c r="AN44" s="350">
        <v>25.743269979819331</v>
      </c>
      <c r="AO44" s="350">
        <v>94.207445208422854</v>
      </c>
      <c r="AP44" s="639">
        <f t="shared" si="6"/>
        <v>3.1416407593875005E-2</v>
      </c>
    </row>
    <row r="45" spans="1:42" x14ac:dyDescent="0.2">
      <c r="A45" s="638">
        <v>42385</v>
      </c>
      <c r="B45" s="341" t="s">
        <v>137</v>
      </c>
      <c r="C45" s="351" t="s">
        <v>202</v>
      </c>
      <c r="D45" s="342">
        <v>0</v>
      </c>
      <c r="E45" s="342">
        <v>0</v>
      </c>
      <c r="F45" s="342">
        <v>0</v>
      </c>
      <c r="G45" s="342">
        <v>0</v>
      </c>
      <c r="H45" s="342">
        <v>0</v>
      </c>
      <c r="I45" s="342">
        <v>0</v>
      </c>
      <c r="J45" s="342">
        <v>0</v>
      </c>
      <c r="K45" s="343">
        <v>0</v>
      </c>
      <c r="L45" s="342">
        <v>0</v>
      </c>
      <c r="M45" s="342">
        <v>0</v>
      </c>
      <c r="N45" s="354">
        <v>0</v>
      </c>
      <c r="O45" s="343" t="s">
        <v>311</v>
      </c>
      <c r="P45" s="343" t="s">
        <v>311</v>
      </c>
      <c r="Q45" s="343" t="s">
        <v>311</v>
      </c>
      <c r="R45" s="344" t="s">
        <v>312</v>
      </c>
      <c r="S45" s="344" t="s">
        <v>312</v>
      </c>
      <c r="T45" s="343">
        <v>-50</v>
      </c>
      <c r="U45" s="342">
        <v>0</v>
      </c>
      <c r="V45" s="342">
        <v>0</v>
      </c>
      <c r="W45" s="344" t="str">
        <f t="shared" si="7"/>
        <v>0.00%</v>
      </c>
      <c r="X45" s="342">
        <v>0</v>
      </c>
      <c r="Y45" s="344" t="str">
        <f t="shared" si="8"/>
        <v>0.00%</v>
      </c>
      <c r="Z45" s="342">
        <v>0</v>
      </c>
      <c r="AA45" s="344">
        <f t="shared" si="0"/>
        <v>0</v>
      </c>
      <c r="AB45" s="342">
        <v>0</v>
      </c>
      <c r="AC45" s="344" t="str">
        <f t="shared" si="1"/>
        <v>0.00%</v>
      </c>
      <c r="AD45" s="342">
        <v>-50</v>
      </c>
      <c r="AE45" s="342">
        <v>0</v>
      </c>
      <c r="AF45" s="344">
        <f t="shared" si="2"/>
        <v>0</v>
      </c>
      <c r="AG45" s="342">
        <v>0</v>
      </c>
      <c r="AH45" s="344">
        <f t="shared" si="3"/>
        <v>0</v>
      </c>
      <c r="AI45" s="342">
        <v>0</v>
      </c>
      <c r="AJ45" s="344">
        <f t="shared" si="4"/>
        <v>0</v>
      </c>
      <c r="AK45" s="342">
        <v>357.61</v>
      </c>
      <c r="AL45" s="784">
        <v>0</v>
      </c>
      <c r="AM45" s="350" t="s">
        <v>313</v>
      </c>
      <c r="AN45" s="350" t="s">
        <v>313</v>
      </c>
      <c r="AO45" s="350" t="s">
        <v>313</v>
      </c>
      <c r="AP45" s="639" t="str">
        <f t="shared" si="6"/>
        <v>0.00%</v>
      </c>
    </row>
    <row r="46" spans="1:42" x14ac:dyDescent="0.2">
      <c r="A46" s="638">
        <v>42385</v>
      </c>
      <c r="B46" s="341" t="s">
        <v>137</v>
      </c>
      <c r="C46" s="351" t="s">
        <v>203</v>
      </c>
      <c r="D46" s="342">
        <v>181619.729999984</v>
      </c>
      <c r="E46" s="342">
        <v>9474</v>
      </c>
      <c r="F46" s="342">
        <v>172145.729999984</v>
      </c>
      <c r="G46" s="342">
        <v>142326.93973904799</v>
      </c>
      <c r="H46" s="342">
        <v>81310.609752476201</v>
      </c>
      <c r="I46" s="342">
        <v>61016.329986572302</v>
      </c>
      <c r="J46" s="342">
        <v>5897.5500046014804</v>
      </c>
      <c r="K46" s="343">
        <v>136429.38973444703</v>
      </c>
      <c r="L46" s="342">
        <v>53837.920279881</v>
      </c>
      <c r="M46" s="342">
        <v>978</v>
      </c>
      <c r="N46" s="354">
        <v>968</v>
      </c>
      <c r="O46" s="343">
        <v>187.6236880165124</v>
      </c>
      <c r="P46" s="343">
        <v>130.99567119845352</v>
      </c>
      <c r="Q46" s="343">
        <v>147.03196254033938</v>
      </c>
      <c r="R46" s="344">
        <v>0.78365351462124211</v>
      </c>
      <c r="S46" s="344">
        <v>1.1771676675297946</v>
      </c>
      <c r="T46" s="343">
        <v>118308.47</v>
      </c>
      <c r="U46" s="342">
        <v>117981.84</v>
      </c>
      <c r="V46" s="342">
        <v>2549.58</v>
      </c>
      <c r="W46" s="344">
        <f t="shared" si="7"/>
        <v>2.1609935901999833E-2</v>
      </c>
      <c r="X46" s="342">
        <v>13656.880000000001</v>
      </c>
      <c r="Y46" s="344">
        <f t="shared" si="8"/>
        <v>0.11575408554401255</v>
      </c>
      <c r="Z46" s="342">
        <v>4382.46</v>
      </c>
      <c r="AA46" s="344">
        <f t="shared" si="0"/>
        <v>3.7145208109993881E-2</v>
      </c>
      <c r="AB46" s="342">
        <v>1857.38</v>
      </c>
      <c r="AC46" s="344">
        <f t="shared" si="1"/>
        <v>1.5742931285018101E-2</v>
      </c>
      <c r="AD46" s="342">
        <v>97400.5</v>
      </c>
      <c r="AE46" s="342">
        <v>5122.6400000000003</v>
      </c>
      <c r="AF46" s="344">
        <f t="shared" si="2"/>
        <v>5.2593569848204069E-2</v>
      </c>
      <c r="AG46" s="342">
        <v>4443.1400000000003</v>
      </c>
      <c r="AH46" s="344">
        <f t="shared" si="3"/>
        <v>4.5617219624129242E-2</v>
      </c>
      <c r="AI46" s="342">
        <v>3259.23</v>
      </c>
      <c r="AJ46" s="344">
        <f t="shared" si="4"/>
        <v>3.3462148551598812E-2</v>
      </c>
      <c r="AK46" s="342">
        <v>84575.49</v>
      </c>
      <c r="AL46" s="784">
        <f t="shared" si="5"/>
        <v>0.8683270619760679</v>
      </c>
      <c r="AM46" s="350">
        <v>19.542227598291841</v>
      </c>
      <c r="AN46" s="350">
        <v>20.560807404286638</v>
      </c>
      <c r="AO46" s="350">
        <v>1.0342938568714375</v>
      </c>
      <c r="AP46" s="639">
        <f t="shared" si="6"/>
        <v>4.6509249348416895E-2</v>
      </c>
    </row>
    <row r="47" spans="1:42" x14ac:dyDescent="0.2">
      <c r="A47" s="638">
        <v>42385</v>
      </c>
      <c r="B47" s="341" t="s">
        <v>137</v>
      </c>
      <c r="C47" s="351" t="s">
        <v>204</v>
      </c>
      <c r="D47" s="342">
        <v>34290.599998777703</v>
      </c>
      <c r="E47" s="342">
        <v>2931.0299987793001</v>
      </c>
      <c r="F47" s="342">
        <v>31359.569999998399</v>
      </c>
      <c r="G47" s="342">
        <v>15658.7599906921</v>
      </c>
      <c r="H47" s="342">
        <v>5625.2399902343795</v>
      </c>
      <c r="I47" s="342">
        <v>10033.5200004578</v>
      </c>
      <c r="J47" s="342">
        <v>0</v>
      </c>
      <c r="K47" s="343">
        <v>15658.759990692179</v>
      </c>
      <c r="L47" s="342">
        <v>4394.4500236511203</v>
      </c>
      <c r="M47" s="342">
        <v>119</v>
      </c>
      <c r="N47" s="354">
        <v>210</v>
      </c>
      <c r="O47" s="343">
        <v>163.28857142275092</v>
      </c>
      <c r="P47" s="343">
        <v>141.79595226250751</v>
      </c>
      <c r="Q47" s="343">
        <v>74.565523765200851</v>
      </c>
      <c r="R47" s="344">
        <v>0.45664876062974524</v>
      </c>
      <c r="S47" s="344">
        <v>0.52586496705602248</v>
      </c>
      <c r="T47" s="343">
        <v>16049.07</v>
      </c>
      <c r="U47" s="342">
        <v>16079.07</v>
      </c>
      <c r="V47" s="342">
        <v>0</v>
      </c>
      <c r="W47" s="344">
        <f t="shared" si="7"/>
        <v>0</v>
      </c>
      <c r="X47" s="342">
        <v>0</v>
      </c>
      <c r="Y47" s="344">
        <f t="shared" si="8"/>
        <v>0</v>
      </c>
      <c r="Z47" s="342">
        <v>0</v>
      </c>
      <c r="AA47" s="344">
        <f t="shared" si="0"/>
        <v>0</v>
      </c>
      <c r="AB47" s="342">
        <v>0</v>
      </c>
      <c r="AC47" s="344">
        <f t="shared" si="1"/>
        <v>0</v>
      </c>
      <c r="AD47" s="342">
        <v>-30</v>
      </c>
      <c r="AE47" s="342">
        <v>0</v>
      </c>
      <c r="AF47" s="344">
        <f t="shared" si="2"/>
        <v>0</v>
      </c>
      <c r="AG47" s="342">
        <v>0</v>
      </c>
      <c r="AH47" s="344">
        <f t="shared" si="3"/>
        <v>0</v>
      </c>
      <c r="AI47" s="342">
        <v>0</v>
      </c>
      <c r="AJ47" s="344">
        <f t="shared" si="4"/>
        <v>0</v>
      </c>
      <c r="AK47" s="342">
        <v>0</v>
      </c>
      <c r="AL47" s="784">
        <f t="shared" si="5"/>
        <v>0</v>
      </c>
      <c r="AM47" s="350">
        <v>14.040935417203611</v>
      </c>
      <c r="AN47" s="350">
        <v>15.381974306408686</v>
      </c>
      <c r="AO47" s="350">
        <v>-0.30705929327738957</v>
      </c>
      <c r="AP47" s="639">
        <f t="shared" si="6"/>
        <v>0</v>
      </c>
    </row>
    <row r="48" spans="1:42" x14ac:dyDescent="0.2">
      <c r="A48" s="638">
        <v>42385</v>
      </c>
      <c r="B48" s="341" t="s">
        <v>137</v>
      </c>
      <c r="C48" s="351" t="s">
        <v>205</v>
      </c>
      <c r="D48" s="342">
        <v>0</v>
      </c>
      <c r="E48" s="342">
        <v>0</v>
      </c>
      <c r="F48" s="342">
        <v>0</v>
      </c>
      <c r="G48" s="342">
        <v>1859.12001037598</v>
      </c>
      <c r="H48" s="342">
        <v>424.64000701904303</v>
      </c>
      <c r="I48" s="342">
        <v>1434.48000335693</v>
      </c>
      <c r="J48" s="342">
        <v>188.290000915527</v>
      </c>
      <c r="K48" s="343">
        <v>1670.830009460446</v>
      </c>
      <c r="L48" s="342">
        <v>180.35000610351599</v>
      </c>
      <c r="M48" s="342">
        <v>78.619998931884794</v>
      </c>
      <c r="N48" s="354">
        <v>0</v>
      </c>
      <c r="O48" s="343" t="s">
        <v>311</v>
      </c>
      <c r="P48" s="343" t="s">
        <v>311</v>
      </c>
      <c r="Q48" s="343" t="s">
        <v>311</v>
      </c>
      <c r="R48" s="344" t="s">
        <v>312</v>
      </c>
      <c r="S48" s="344">
        <v>-4.1566873533064141</v>
      </c>
      <c r="T48" s="343">
        <v>1450.93</v>
      </c>
      <c r="U48" s="342">
        <v>1489.54</v>
      </c>
      <c r="V48" s="342">
        <v>205</v>
      </c>
      <c r="W48" s="344">
        <f t="shared" si="7"/>
        <v>0.13762638129892452</v>
      </c>
      <c r="X48" s="342">
        <v>1284.54</v>
      </c>
      <c r="Y48" s="344">
        <f t="shared" si="8"/>
        <v>0.86237361870107554</v>
      </c>
      <c r="Z48" s="342">
        <v>11</v>
      </c>
      <c r="AA48" s="344">
        <f t="shared" si="0"/>
        <v>7.3848302160398512E-3</v>
      </c>
      <c r="AB48" s="342">
        <v>205</v>
      </c>
      <c r="AC48" s="344">
        <f t="shared" si="1"/>
        <v>0.13762638129892452</v>
      </c>
      <c r="AD48" s="342">
        <v>-38.61</v>
      </c>
      <c r="AE48" s="342">
        <v>36.71</v>
      </c>
      <c r="AF48" s="344">
        <v>0</v>
      </c>
      <c r="AG48" s="342">
        <v>46.58</v>
      </c>
      <c r="AH48" s="344">
        <v>0</v>
      </c>
      <c r="AI48" s="342">
        <v>608.88</v>
      </c>
      <c r="AJ48" s="344">
        <v>0</v>
      </c>
      <c r="AK48" s="342">
        <v>7471.56</v>
      </c>
      <c r="AL48" s="784">
        <v>0</v>
      </c>
      <c r="AM48" s="350" t="s">
        <v>313</v>
      </c>
      <c r="AN48" s="350" t="s">
        <v>313</v>
      </c>
      <c r="AO48" s="350" t="s">
        <v>313</v>
      </c>
      <c r="AP48" s="639">
        <f t="shared" si="6"/>
        <v>-0.72707262329391409</v>
      </c>
    </row>
    <row r="49" spans="1:42" x14ac:dyDescent="0.2">
      <c r="A49" s="638">
        <v>42385</v>
      </c>
      <c r="B49" s="341" t="s">
        <v>137</v>
      </c>
      <c r="C49" s="351" t="s">
        <v>206</v>
      </c>
      <c r="D49" s="342">
        <v>235144.269995693</v>
      </c>
      <c r="E49" s="342">
        <v>12715</v>
      </c>
      <c r="F49" s="342">
        <v>222429.269995693</v>
      </c>
      <c r="G49" s="342">
        <v>168850.99986242899</v>
      </c>
      <c r="H49" s="342">
        <v>93729.119850177303</v>
      </c>
      <c r="I49" s="342">
        <v>75121.880012251393</v>
      </c>
      <c r="J49" s="342">
        <v>8196.6800038516503</v>
      </c>
      <c r="K49" s="343">
        <v>160654.31985857704</v>
      </c>
      <c r="L49" s="342">
        <v>75464.0702211764</v>
      </c>
      <c r="M49" s="342">
        <v>1632.7199993133499</v>
      </c>
      <c r="N49" s="354">
        <v>1250</v>
      </c>
      <c r="O49" s="343">
        <v>188.11541599655439</v>
      </c>
      <c r="P49" s="343">
        <v>126.4379838201626</v>
      </c>
      <c r="Q49" s="343">
        <v>135.08079988994297</v>
      </c>
      <c r="R49" s="344">
        <v>0.71807405668665214</v>
      </c>
      <c r="S49" s="344">
        <v>1.1267941186838399</v>
      </c>
      <c r="T49" s="343">
        <v>361786.08999999997</v>
      </c>
      <c r="U49" s="342">
        <v>176817.47</v>
      </c>
      <c r="V49" s="342">
        <v>7821.91</v>
      </c>
      <c r="W49" s="344">
        <f t="shared" si="7"/>
        <v>4.4237201222254788E-2</v>
      </c>
      <c r="X49" s="342">
        <v>24935.199999999997</v>
      </c>
      <c r="Y49" s="344">
        <f t="shared" si="8"/>
        <v>0.14102226437240617</v>
      </c>
      <c r="Z49" s="342">
        <v>6640.45</v>
      </c>
      <c r="AA49" s="344">
        <f t="shared" si="0"/>
        <v>3.7555395402954245E-2</v>
      </c>
      <c r="AB49" s="342">
        <v>2913.51</v>
      </c>
      <c r="AC49" s="344">
        <f t="shared" si="1"/>
        <v>1.6477500780890036E-2</v>
      </c>
      <c r="AD49" s="342">
        <v>184968.62</v>
      </c>
      <c r="AE49" s="342">
        <v>8393.32</v>
      </c>
      <c r="AF49" s="344">
        <f t="shared" si="2"/>
        <v>4.537699421664064E-2</v>
      </c>
      <c r="AG49" s="342">
        <v>7722.57</v>
      </c>
      <c r="AH49" s="344">
        <f t="shared" si="3"/>
        <v>4.1750703443643573E-2</v>
      </c>
      <c r="AI49" s="342">
        <v>7924.08</v>
      </c>
      <c r="AJ49" s="344">
        <f t="shared" si="4"/>
        <v>4.2840131477436552E-2</v>
      </c>
      <c r="AK49" s="342">
        <v>136394.03</v>
      </c>
      <c r="AL49" s="784">
        <f t="shared" si="5"/>
        <v>0.73739010433229157</v>
      </c>
      <c r="AM49" s="350">
        <v>46.157121754226871</v>
      </c>
      <c r="AN49" s="350">
        <v>23.848138781837093</v>
      </c>
      <c r="AO49" s="350">
        <v>436.41829335430594</v>
      </c>
      <c r="AP49" s="639">
        <f t="shared" si="6"/>
        <v>5.1862136716827691E-2</v>
      </c>
    </row>
    <row r="50" spans="1:42" x14ac:dyDescent="0.2">
      <c r="A50" s="638">
        <v>42385</v>
      </c>
      <c r="B50" s="341" t="s">
        <v>137</v>
      </c>
      <c r="C50" s="351" t="s">
        <v>207</v>
      </c>
      <c r="D50" s="342">
        <v>0</v>
      </c>
      <c r="E50" s="342">
        <v>0</v>
      </c>
      <c r="F50" s="342">
        <v>0</v>
      </c>
      <c r="G50" s="342">
        <v>0</v>
      </c>
      <c r="H50" s="342">
        <v>0</v>
      </c>
      <c r="I50" s="342">
        <v>0</v>
      </c>
      <c r="J50" s="342">
        <v>0</v>
      </c>
      <c r="K50" s="343">
        <v>0</v>
      </c>
      <c r="L50" s="342">
        <v>0</v>
      </c>
      <c r="M50" s="342">
        <v>20</v>
      </c>
      <c r="N50" s="354">
        <v>0</v>
      </c>
      <c r="O50" s="343" t="s">
        <v>311</v>
      </c>
      <c r="P50" s="343" t="s">
        <v>311</v>
      </c>
      <c r="Q50" s="343" t="s">
        <v>311</v>
      </c>
      <c r="R50" s="344" t="s">
        <v>312</v>
      </c>
      <c r="S50" s="344">
        <v>0</v>
      </c>
      <c r="T50" s="343">
        <v>287.2</v>
      </c>
      <c r="U50" s="342">
        <v>0</v>
      </c>
      <c r="V50" s="342">
        <v>0</v>
      </c>
      <c r="W50" s="344" t="str">
        <f t="shared" si="7"/>
        <v>0.00%</v>
      </c>
      <c r="X50" s="342">
        <v>0</v>
      </c>
      <c r="Y50" s="344" t="str">
        <f t="shared" si="8"/>
        <v>0.00%</v>
      </c>
      <c r="Z50" s="342">
        <v>0</v>
      </c>
      <c r="AA50" s="344">
        <f t="shared" si="0"/>
        <v>0</v>
      </c>
      <c r="AB50" s="342">
        <v>0</v>
      </c>
      <c r="AC50" s="344" t="str">
        <f t="shared" si="1"/>
        <v>0.00%</v>
      </c>
      <c r="AD50" s="342">
        <v>287.2</v>
      </c>
      <c r="AE50" s="342">
        <v>0</v>
      </c>
      <c r="AF50" s="344">
        <f t="shared" si="2"/>
        <v>0</v>
      </c>
      <c r="AG50" s="342">
        <v>0</v>
      </c>
      <c r="AH50" s="344">
        <f t="shared" si="3"/>
        <v>0</v>
      </c>
      <c r="AI50" s="342">
        <v>0</v>
      </c>
      <c r="AJ50" s="344">
        <f t="shared" si="4"/>
        <v>0</v>
      </c>
      <c r="AK50" s="342">
        <v>287.2</v>
      </c>
      <c r="AL50" s="784">
        <f t="shared" si="5"/>
        <v>1</v>
      </c>
      <c r="AM50" s="350" t="s">
        <v>313</v>
      </c>
      <c r="AN50" s="350" t="s">
        <v>313</v>
      </c>
      <c r="AO50" s="350" t="s">
        <v>313</v>
      </c>
      <c r="AP50" s="639">
        <f t="shared" si="6"/>
        <v>0</v>
      </c>
    </row>
    <row r="51" spans="1:42" x14ac:dyDescent="0.2">
      <c r="A51" s="638">
        <v>42385</v>
      </c>
      <c r="B51" s="341" t="s">
        <v>137</v>
      </c>
      <c r="C51" s="351" t="s">
        <v>208</v>
      </c>
      <c r="D51" s="342">
        <v>149505.990004864</v>
      </c>
      <c r="E51" s="342">
        <v>8595</v>
      </c>
      <c r="F51" s="342">
        <v>140910.990004864</v>
      </c>
      <c r="G51" s="342">
        <v>101555.74980733699</v>
      </c>
      <c r="H51" s="342">
        <v>63232.679825404703</v>
      </c>
      <c r="I51" s="342">
        <v>38323.069981932596</v>
      </c>
      <c r="J51" s="342">
        <v>3387.3500018119798</v>
      </c>
      <c r="K51" s="343">
        <v>98168.399805525318</v>
      </c>
      <c r="L51" s="342">
        <v>47741.400084486202</v>
      </c>
      <c r="M51" s="342">
        <v>628.03999900817905</v>
      </c>
      <c r="N51" s="354">
        <v>782</v>
      </c>
      <c r="O51" s="343">
        <v>191.18413044100257</v>
      </c>
      <c r="P51" s="343">
        <v>129.33062649791512</v>
      </c>
      <c r="Q51" s="343">
        <v>129.86668773316791</v>
      </c>
      <c r="R51" s="344">
        <v>0.67927545781967202</v>
      </c>
      <c r="S51" s="344">
        <v>1.0389420055705034</v>
      </c>
      <c r="T51" s="343">
        <v>273703.83999999997</v>
      </c>
      <c r="U51" s="342">
        <v>134140.12</v>
      </c>
      <c r="V51" s="342">
        <v>6132.89</v>
      </c>
      <c r="W51" s="344">
        <f t="shared" si="7"/>
        <v>4.5720027684483959E-2</v>
      </c>
      <c r="X51" s="342">
        <v>20312.04</v>
      </c>
      <c r="Y51" s="344">
        <f t="shared" si="8"/>
        <v>0.15142404822658576</v>
      </c>
      <c r="Z51" s="342">
        <v>5660.51</v>
      </c>
      <c r="AA51" s="344">
        <f t="shared" si="0"/>
        <v>4.2198486179973599E-2</v>
      </c>
      <c r="AB51" s="342">
        <v>3900.47</v>
      </c>
      <c r="AC51" s="344">
        <f t="shared" si="1"/>
        <v>2.9077579474358604E-2</v>
      </c>
      <c r="AD51" s="342">
        <v>139563.72</v>
      </c>
      <c r="AE51" s="342">
        <v>6266.49</v>
      </c>
      <c r="AF51" s="344">
        <f t="shared" si="2"/>
        <v>4.490056584906163E-2</v>
      </c>
      <c r="AG51" s="342">
        <v>6058.74</v>
      </c>
      <c r="AH51" s="344">
        <f t="shared" si="3"/>
        <v>4.3411998476394868E-2</v>
      </c>
      <c r="AI51" s="342">
        <v>4594.2700000000004</v>
      </c>
      <c r="AJ51" s="344">
        <f t="shared" si="4"/>
        <v>3.2918798667733992E-2</v>
      </c>
      <c r="AK51" s="342">
        <v>108818.83</v>
      </c>
      <c r="AL51" s="784">
        <f t="shared" si="5"/>
        <v>0.77970714738758751</v>
      </c>
      <c r="AM51" s="350">
        <v>54.921646950285137</v>
      </c>
      <c r="AN51" s="350">
        <v>28.558479362476209</v>
      </c>
      <c r="AO51" s="350">
        <v>487.13340314136121</v>
      </c>
      <c r="AP51" s="639">
        <f t="shared" si="6"/>
        <v>3.3492837203222124E-2</v>
      </c>
    </row>
    <row r="52" spans="1:42" x14ac:dyDescent="0.2">
      <c r="A52" s="638">
        <v>42401</v>
      </c>
      <c r="B52" s="341" t="s">
        <v>133</v>
      </c>
      <c r="C52" s="351" t="s">
        <v>161</v>
      </c>
      <c r="D52" s="342">
        <v>0</v>
      </c>
      <c r="E52" s="342">
        <v>0</v>
      </c>
      <c r="F52" s="342">
        <v>0</v>
      </c>
      <c r="G52" s="342">
        <v>476.76998805999801</v>
      </c>
      <c r="H52" s="342">
        <v>85.470001220703097</v>
      </c>
      <c r="I52" s="342">
        <v>391.29998683929398</v>
      </c>
      <c r="J52" s="342">
        <v>20</v>
      </c>
      <c r="K52" s="343">
        <v>456.7699880599971</v>
      </c>
      <c r="L52" s="342">
        <v>79.760002136230497</v>
      </c>
      <c r="M52" s="342">
        <v>0</v>
      </c>
      <c r="N52" s="354">
        <v>0</v>
      </c>
      <c r="O52" s="343" t="s">
        <v>311</v>
      </c>
      <c r="P52" s="343" t="s">
        <v>311</v>
      </c>
      <c r="Q52" s="343" t="s">
        <v>311</v>
      </c>
      <c r="R52" s="344" t="s">
        <v>312</v>
      </c>
      <c r="S52" s="344">
        <v>-4.7791697859922699</v>
      </c>
      <c r="T52" s="343">
        <v>6680.7800000000007</v>
      </c>
      <c r="U52" s="342">
        <v>-19.28</v>
      </c>
      <c r="V52" s="342">
        <v>0</v>
      </c>
      <c r="W52" s="344">
        <v>0</v>
      </c>
      <c r="X52" s="342">
        <v>0</v>
      </c>
      <c r="Y52" s="344">
        <f t="shared" si="8"/>
        <v>0</v>
      </c>
      <c r="Z52" s="342">
        <v>0</v>
      </c>
      <c r="AA52" s="344">
        <f t="shared" si="0"/>
        <v>0</v>
      </c>
      <c r="AB52" s="342">
        <v>-309.66000000000003</v>
      </c>
      <c r="AC52" s="344">
        <v>0</v>
      </c>
      <c r="AD52" s="342">
        <v>6700.06</v>
      </c>
      <c r="AE52" s="342">
        <v>0</v>
      </c>
      <c r="AF52" s="344">
        <f t="shared" si="2"/>
        <v>0</v>
      </c>
      <c r="AG52" s="342">
        <v>0</v>
      </c>
      <c r="AH52" s="344">
        <f t="shared" si="3"/>
        <v>0</v>
      </c>
      <c r="AI52" s="342">
        <v>0</v>
      </c>
      <c r="AJ52" s="344">
        <f t="shared" si="4"/>
        <v>0</v>
      </c>
      <c r="AK52" s="342">
        <v>6680.06</v>
      </c>
      <c r="AL52" s="784">
        <f t="shared" si="5"/>
        <v>0.99701495210490654</v>
      </c>
      <c r="AM52" s="350" t="s">
        <v>313</v>
      </c>
      <c r="AN52" s="350" t="s">
        <v>313</v>
      </c>
      <c r="AO52" s="350" t="s">
        <v>313</v>
      </c>
      <c r="AP52" s="639">
        <f t="shared" si="6"/>
        <v>-0.25075225005435553</v>
      </c>
    </row>
    <row r="53" spans="1:42" x14ac:dyDescent="0.2">
      <c r="A53" s="638">
        <v>42401</v>
      </c>
      <c r="B53" s="341" t="s">
        <v>133</v>
      </c>
      <c r="C53" s="351" t="s">
        <v>162</v>
      </c>
      <c r="D53" s="342">
        <v>195561.60000722157</v>
      </c>
      <c r="E53" s="342">
        <v>9001</v>
      </c>
      <c r="F53" s="342">
        <v>186560.60000722157</v>
      </c>
      <c r="G53" s="342">
        <v>121661.25986270935</v>
      </c>
      <c r="H53" s="342">
        <v>57040.199907073751</v>
      </c>
      <c r="I53" s="342">
        <v>64621.059955636003</v>
      </c>
      <c r="J53" s="342">
        <v>4113.0600032806396</v>
      </c>
      <c r="K53" s="343">
        <v>117548.19985942912</v>
      </c>
      <c r="L53" s="342">
        <v>53450.750005712704</v>
      </c>
      <c r="M53" s="342">
        <v>2727</v>
      </c>
      <c r="N53" s="354">
        <v>1055</v>
      </c>
      <c r="O53" s="343">
        <v>185.36644550447542</v>
      </c>
      <c r="P53" s="343">
        <v>132.11739336635912</v>
      </c>
      <c r="Q53" s="343">
        <v>115.31872972768697</v>
      </c>
      <c r="R53" s="344">
        <v>0.6221122135338284</v>
      </c>
      <c r="S53" s="344">
        <v>0.89939047346661671</v>
      </c>
      <c r="T53" s="343">
        <v>332503.08999999997</v>
      </c>
      <c r="U53" s="342">
        <v>163636.66</v>
      </c>
      <c r="V53" s="342">
        <v>7463.53</v>
      </c>
      <c r="W53" s="344">
        <f t="shared" si="7"/>
        <v>4.5610378505647815E-2</v>
      </c>
      <c r="X53" s="342">
        <v>3525.36</v>
      </c>
      <c r="Y53" s="344">
        <f t="shared" si="8"/>
        <v>2.1543827648401036E-2</v>
      </c>
      <c r="Z53" s="342">
        <v>2008.5</v>
      </c>
      <c r="AA53" s="344">
        <f t="shared" si="0"/>
        <v>1.2274144436827297E-2</v>
      </c>
      <c r="AB53" s="342">
        <v>20094.060000000001</v>
      </c>
      <c r="AC53" s="344">
        <f t="shared" si="1"/>
        <v>0.12279681093466464</v>
      </c>
      <c r="AD53" s="342">
        <v>168866.43</v>
      </c>
      <c r="AE53" s="342">
        <v>5066.2</v>
      </c>
      <c r="AF53" s="344">
        <f t="shared" si="2"/>
        <v>3.0001226413088736E-2</v>
      </c>
      <c r="AG53" s="342">
        <v>4975.12</v>
      </c>
      <c r="AH53" s="344">
        <f t="shared" si="3"/>
        <v>2.9461865215010468E-2</v>
      </c>
      <c r="AI53" s="342">
        <v>3489.74</v>
      </c>
      <c r="AJ53" s="344">
        <f t="shared" si="4"/>
        <v>2.0665682338402012E-2</v>
      </c>
      <c r="AK53" s="342">
        <v>137446.03</v>
      </c>
      <c r="AL53" s="784">
        <f t="shared" si="5"/>
        <v>0.81393341471126024</v>
      </c>
      <c r="AM53" s="350">
        <v>51.976477463581617</v>
      </c>
      <c r="AN53" s="350">
        <v>26.842106990380895</v>
      </c>
      <c r="AO53" s="350">
        <v>561.17340348933817</v>
      </c>
      <c r="AP53" s="639">
        <f t="shared" si="6"/>
        <v>2.9508870670713391E-2</v>
      </c>
    </row>
    <row r="54" spans="1:42" x14ac:dyDescent="0.2">
      <c r="A54" s="638">
        <v>42401</v>
      </c>
      <c r="B54" s="341" t="s">
        <v>133</v>
      </c>
      <c r="C54" s="351" t="s">
        <v>163</v>
      </c>
      <c r="D54" s="342">
        <v>0</v>
      </c>
      <c r="E54" s="342">
        <v>0</v>
      </c>
      <c r="F54" s="342">
        <v>0</v>
      </c>
      <c r="G54" s="342">
        <v>200.49000549316401</v>
      </c>
      <c r="H54" s="342">
        <v>133.99000549316401</v>
      </c>
      <c r="I54" s="342">
        <v>66.5</v>
      </c>
      <c r="J54" s="342">
        <v>23.600000381469702</v>
      </c>
      <c r="K54" s="343">
        <v>176.89000511169431</v>
      </c>
      <c r="L54" s="342">
        <v>211.38000488281301</v>
      </c>
      <c r="M54" s="342">
        <v>0</v>
      </c>
      <c r="N54" s="354">
        <v>0</v>
      </c>
      <c r="O54" s="343" t="s">
        <v>311</v>
      </c>
      <c r="P54" s="343" t="s">
        <v>311</v>
      </c>
      <c r="Q54" s="343" t="s">
        <v>311</v>
      </c>
      <c r="R54" s="344" t="s">
        <v>312</v>
      </c>
      <c r="S54" s="344">
        <v>-0.85322155503261776</v>
      </c>
      <c r="T54" s="343">
        <v>7730.15</v>
      </c>
      <c r="U54" s="342">
        <v>131</v>
      </c>
      <c r="V54" s="342">
        <v>0</v>
      </c>
      <c r="W54" s="344">
        <f t="shared" si="7"/>
        <v>0</v>
      </c>
      <c r="X54" s="342">
        <v>0</v>
      </c>
      <c r="Y54" s="344">
        <f t="shared" si="8"/>
        <v>0</v>
      </c>
      <c r="Z54" s="342">
        <v>-5</v>
      </c>
      <c r="AA54" s="344">
        <v>0</v>
      </c>
      <c r="AB54" s="342">
        <v>66</v>
      </c>
      <c r="AC54" s="344">
        <f t="shared" si="1"/>
        <v>0.50381679389312972</v>
      </c>
      <c r="AD54" s="342">
        <v>7599.15</v>
      </c>
      <c r="AE54" s="342">
        <v>0</v>
      </c>
      <c r="AF54" s="344">
        <f t="shared" si="2"/>
        <v>0</v>
      </c>
      <c r="AG54" s="342">
        <v>0</v>
      </c>
      <c r="AH54" s="344">
        <f t="shared" si="3"/>
        <v>0</v>
      </c>
      <c r="AI54" s="342">
        <v>113.6</v>
      </c>
      <c r="AJ54" s="344">
        <f t="shared" si="4"/>
        <v>1.4949040353197397E-2</v>
      </c>
      <c r="AK54" s="342">
        <v>7450.92</v>
      </c>
      <c r="AL54" s="784">
        <f t="shared" si="5"/>
        <v>0.98049387102504892</v>
      </c>
      <c r="AM54" s="350" t="s">
        <v>313</v>
      </c>
      <c r="AN54" s="350" t="s">
        <v>313</v>
      </c>
      <c r="AO54" s="350" t="s">
        <v>313</v>
      </c>
      <c r="AP54" s="639">
        <f t="shared" si="6"/>
        <v>-0.1116472695445026</v>
      </c>
    </row>
    <row r="55" spans="1:42" x14ac:dyDescent="0.2">
      <c r="A55" s="638">
        <v>42401</v>
      </c>
      <c r="B55" s="341" t="s">
        <v>133</v>
      </c>
      <c r="C55" s="351" t="s">
        <v>164</v>
      </c>
      <c r="D55" s="342">
        <v>185468.25000121401</v>
      </c>
      <c r="E55" s="342">
        <v>13152</v>
      </c>
      <c r="F55" s="342">
        <v>172316.25000121401</v>
      </c>
      <c r="G55" s="342">
        <v>119849.59988224501</v>
      </c>
      <c r="H55" s="342">
        <v>52173.2598834038</v>
      </c>
      <c r="I55" s="342">
        <v>67676.3399988413</v>
      </c>
      <c r="J55" s="342">
        <v>3452.3100032806401</v>
      </c>
      <c r="K55" s="343">
        <v>116397.28987896445</v>
      </c>
      <c r="L55" s="342">
        <v>47072.490162491798</v>
      </c>
      <c r="M55" s="342">
        <v>2515.1300006210799</v>
      </c>
      <c r="N55" s="354">
        <v>1016</v>
      </c>
      <c r="O55" s="343">
        <v>182.5474901586752</v>
      </c>
      <c r="P55" s="343">
        <v>133.74077739970585</v>
      </c>
      <c r="Q55" s="343">
        <v>117.96220460850896</v>
      </c>
      <c r="R55" s="344">
        <v>0.64620009021199365</v>
      </c>
      <c r="S55" s="344">
        <v>0.90501487923228963</v>
      </c>
      <c r="T55" s="343">
        <v>221516.08000000002</v>
      </c>
      <c r="U55" s="342">
        <v>150274.48000000001</v>
      </c>
      <c r="V55" s="342">
        <v>5985.84</v>
      </c>
      <c r="W55" s="344">
        <f t="shared" si="7"/>
        <v>3.983271144907638E-2</v>
      </c>
      <c r="X55" s="342">
        <v>1953.09</v>
      </c>
      <c r="Y55" s="344">
        <f t="shared" si="8"/>
        <v>1.2996817556780099E-2</v>
      </c>
      <c r="Z55" s="342">
        <v>5049.47</v>
      </c>
      <c r="AA55" s="344">
        <f t="shared" si="0"/>
        <v>3.3601646799909075E-2</v>
      </c>
      <c r="AB55" s="342">
        <v>20824.93</v>
      </c>
      <c r="AC55" s="344">
        <f t="shared" si="1"/>
        <v>0.13857928505225903</v>
      </c>
      <c r="AD55" s="342">
        <v>71241.600000000006</v>
      </c>
      <c r="AE55" s="342">
        <v>5624.9</v>
      </c>
      <c r="AF55" s="344">
        <f t="shared" si="2"/>
        <v>7.8955273323451453E-2</v>
      </c>
      <c r="AG55" s="342">
        <v>4152.2</v>
      </c>
      <c r="AH55" s="344">
        <f t="shared" si="3"/>
        <v>5.8283362529757889E-2</v>
      </c>
      <c r="AI55" s="342">
        <v>4180.1899999999996</v>
      </c>
      <c r="AJ55" s="344">
        <f t="shared" si="4"/>
        <v>5.8676250954498486E-2</v>
      </c>
      <c r="AK55" s="342">
        <v>42551.19</v>
      </c>
      <c r="AL55" s="784">
        <f t="shared" si="5"/>
        <v>0.59728010039078294</v>
      </c>
      <c r="AM55" s="350">
        <v>36.687043289404834</v>
      </c>
      <c r="AN55" s="350">
        <v>27.063598821803339</v>
      </c>
      <c r="AO55" s="350">
        <v>146.78397033068921</v>
      </c>
      <c r="AP55" s="639">
        <f t="shared" si="6"/>
        <v>2.540693259513143E-2</v>
      </c>
    </row>
    <row r="56" spans="1:42" x14ac:dyDescent="0.2">
      <c r="A56" s="638">
        <v>42401</v>
      </c>
      <c r="B56" s="341" t="s">
        <v>133</v>
      </c>
      <c r="C56" s="351" t="s">
        <v>165</v>
      </c>
      <c r="D56" s="342">
        <v>0</v>
      </c>
      <c r="E56" s="342">
        <v>0</v>
      </c>
      <c r="F56" s="342">
        <v>0</v>
      </c>
      <c r="G56" s="342">
        <v>6.2499998807907096</v>
      </c>
      <c r="H56" s="342">
        <v>0</v>
      </c>
      <c r="I56" s="342">
        <v>6.2499998807907096</v>
      </c>
      <c r="J56" s="342">
        <v>0</v>
      </c>
      <c r="K56" s="343">
        <v>6.2499998807907096</v>
      </c>
      <c r="L56" s="342">
        <v>0</v>
      </c>
      <c r="M56" s="342">
        <v>0</v>
      </c>
      <c r="N56" s="354">
        <v>0</v>
      </c>
      <c r="O56" s="343" t="s">
        <v>311</v>
      </c>
      <c r="P56" s="343" t="s">
        <v>311</v>
      </c>
      <c r="Q56" s="343" t="s">
        <v>311</v>
      </c>
      <c r="R56" s="344" t="s">
        <v>312</v>
      </c>
      <c r="S56" s="344" t="s">
        <v>312</v>
      </c>
      <c r="T56" s="343">
        <v>4190.74</v>
      </c>
      <c r="U56" s="342">
        <v>1540.19</v>
      </c>
      <c r="V56" s="342">
        <v>0</v>
      </c>
      <c r="W56" s="344">
        <f t="shared" si="7"/>
        <v>0</v>
      </c>
      <c r="X56" s="342">
        <v>0</v>
      </c>
      <c r="Y56" s="344">
        <f t="shared" si="8"/>
        <v>0</v>
      </c>
      <c r="Z56" s="342">
        <v>0</v>
      </c>
      <c r="AA56" s="344">
        <f t="shared" si="0"/>
        <v>0</v>
      </c>
      <c r="AB56" s="342">
        <v>1306.8399999999999</v>
      </c>
      <c r="AC56" s="344">
        <f t="shared" si="1"/>
        <v>0.84849271843084284</v>
      </c>
      <c r="AD56" s="342">
        <v>2650.55</v>
      </c>
      <c r="AE56" s="342">
        <v>0</v>
      </c>
      <c r="AF56" s="344">
        <f t="shared" si="2"/>
        <v>0</v>
      </c>
      <c r="AG56" s="342">
        <v>0</v>
      </c>
      <c r="AH56" s="344">
        <f t="shared" si="3"/>
        <v>0</v>
      </c>
      <c r="AI56" s="342">
        <v>0</v>
      </c>
      <c r="AJ56" s="344">
        <f t="shared" si="4"/>
        <v>0</v>
      </c>
      <c r="AK56" s="342">
        <v>2677.9</v>
      </c>
      <c r="AL56" s="784">
        <f t="shared" si="5"/>
        <v>1.0103186131180322</v>
      </c>
      <c r="AM56" s="350" t="s">
        <v>313</v>
      </c>
      <c r="AN56" s="350" t="s">
        <v>313</v>
      </c>
      <c r="AO56" s="350" t="s">
        <v>313</v>
      </c>
      <c r="AP56" s="639" t="str">
        <f t="shared" si="6"/>
        <v>0.00%</v>
      </c>
    </row>
    <row r="57" spans="1:42" x14ac:dyDescent="0.2">
      <c r="A57" s="638">
        <v>42401</v>
      </c>
      <c r="B57" s="341" t="s">
        <v>133</v>
      </c>
      <c r="C57" s="351" t="s">
        <v>166</v>
      </c>
      <c r="D57" s="342">
        <v>380063.93999905098</v>
      </c>
      <c r="E57" s="342">
        <v>16659</v>
      </c>
      <c r="F57" s="342">
        <v>363404.93999905098</v>
      </c>
      <c r="G57" s="342">
        <v>242474.90986772301</v>
      </c>
      <c r="H57" s="342">
        <v>108183.579914084</v>
      </c>
      <c r="I57" s="342">
        <v>134291.32995363901</v>
      </c>
      <c r="J57" s="342">
        <v>7092.0400072932198</v>
      </c>
      <c r="K57" s="343">
        <v>235382.86986042978</v>
      </c>
      <c r="L57" s="342">
        <v>113643.210303724</v>
      </c>
      <c r="M57" s="342">
        <v>4813.13998889923</v>
      </c>
      <c r="N57" s="354">
        <v>1864</v>
      </c>
      <c r="O57" s="343">
        <v>203.89696351880417</v>
      </c>
      <c r="P57" s="343">
        <v>140.34741937040116</v>
      </c>
      <c r="Q57" s="343">
        <v>130.08310615221191</v>
      </c>
      <c r="R57" s="344">
        <v>0.63798451878472995</v>
      </c>
      <c r="S57" s="344">
        <v>0.95269192846706263</v>
      </c>
      <c r="T57" s="343">
        <v>528979.43999999994</v>
      </c>
      <c r="U57" s="342">
        <v>275160.33</v>
      </c>
      <c r="V57" s="342">
        <v>6764.75</v>
      </c>
      <c r="W57" s="344">
        <f t="shared" si="7"/>
        <v>2.4584757548444573E-2</v>
      </c>
      <c r="X57" s="342">
        <v>5661.85</v>
      </c>
      <c r="Y57" s="344">
        <f t="shared" si="8"/>
        <v>2.0576548952387141E-2</v>
      </c>
      <c r="Z57" s="342">
        <v>7140.17</v>
      </c>
      <c r="AA57" s="344">
        <f t="shared" si="0"/>
        <v>2.5949125733349714E-2</v>
      </c>
      <c r="AB57" s="342">
        <v>19663.259999999998</v>
      </c>
      <c r="AC57" s="344">
        <f t="shared" si="1"/>
        <v>7.1461100515470374E-2</v>
      </c>
      <c r="AD57" s="342">
        <v>253819.11</v>
      </c>
      <c r="AE57" s="342">
        <v>9443.67</v>
      </c>
      <c r="AF57" s="344">
        <f t="shared" si="2"/>
        <v>3.7206300187562713E-2</v>
      </c>
      <c r="AG57" s="342">
        <v>9336.85</v>
      </c>
      <c r="AH57" s="344">
        <f t="shared" si="3"/>
        <v>3.6785449291032501E-2</v>
      </c>
      <c r="AI57" s="342">
        <v>11531.65</v>
      </c>
      <c r="AJ57" s="344">
        <f t="shared" si="4"/>
        <v>4.5432552340129155E-2</v>
      </c>
      <c r="AK57" s="342">
        <v>189936.17</v>
      </c>
      <c r="AL57" s="784">
        <f t="shared" si="5"/>
        <v>0.74831311952831303</v>
      </c>
      <c r="AM57" s="350">
        <v>42.718184304906444</v>
      </c>
      <c r="AN57" s="350">
        <v>23.327956428792827</v>
      </c>
      <c r="AO57" s="350">
        <v>431.88538032857701</v>
      </c>
      <c r="AP57" s="639">
        <f t="shared" si="6"/>
        <v>2.7109458159267488E-2</v>
      </c>
    </row>
    <row r="58" spans="1:42" x14ac:dyDescent="0.2">
      <c r="A58" s="638">
        <v>42401</v>
      </c>
      <c r="B58" s="341" t="s">
        <v>133</v>
      </c>
      <c r="C58" s="351" t="s">
        <v>167</v>
      </c>
      <c r="D58" s="342">
        <v>0</v>
      </c>
      <c r="E58" s="342">
        <v>0</v>
      </c>
      <c r="F58" s="342">
        <v>0</v>
      </c>
      <c r="G58" s="342">
        <v>1924.4599876403799</v>
      </c>
      <c r="H58" s="342">
        <v>463.949991226196</v>
      </c>
      <c r="I58" s="342">
        <v>1460.50999641418</v>
      </c>
      <c r="J58" s="342">
        <v>384</v>
      </c>
      <c r="K58" s="343">
        <v>1540.4599876403761</v>
      </c>
      <c r="L58" s="342">
        <v>377.62001037597702</v>
      </c>
      <c r="M58" s="342">
        <v>0</v>
      </c>
      <c r="N58" s="354">
        <v>0</v>
      </c>
      <c r="O58" s="343" t="s">
        <v>311</v>
      </c>
      <c r="P58" s="343" t="s">
        <v>311</v>
      </c>
      <c r="Q58" s="343" t="s">
        <v>311</v>
      </c>
      <c r="R58" s="344" t="s">
        <v>312</v>
      </c>
      <c r="S58" s="344">
        <v>-2.5267980901530649</v>
      </c>
      <c r="T58" s="343">
        <v>17828.900000000001</v>
      </c>
      <c r="U58" s="342">
        <v>3423.01</v>
      </c>
      <c r="V58" s="342">
        <v>0</v>
      </c>
      <c r="W58" s="344">
        <f t="shared" si="7"/>
        <v>0</v>
      </c>
      <c r="X58" s="342">
        <v>804</v>
      </c>
      <c r="Y58" s="344">
        <f t="shared" si="8"/>
        <v>0.23488099654982017</v>
      </c>
      <c r="Z58" s="342">
        <v>815.77</v>
      </c>
      <c r="AA58" s="344">
        <f t="shared" si="0"/>
        <v>0.23831949074060546</v>
      </c>
      <c r="AB58" s="342">
        <v>1170.58</v>
      </c>
      <c r="AC58" s="344">
        <f t="shared" si="1"/>
        <v>0.34197387679264735</v>
      </c>
      <c r="AD58" s="342">
        <v>14405.89</v>
      </c>
      <c r="AE58" s="342">
        <v>0</v>
      </c>
      <c r="AF58" s="344">
        <f t="shared" si="2"/>
        <v>0</v>
      </c>
      <c r="AG58" s="342">
        <v>1426.72</v>
      </c>
      <c r="AH58" s="344">
        <f t="shared" si="3"/>
        <v>9.9037268783809959E-2</v>
      </c>
      <c r="AI58" s="342">
        <v>1405.24</v>
      </c>
      <c r="AJ58" s="344">
        <f t="shared" si="4"/>
        <v>9.7546212000785795E-2</v>
      </c>
      <c r="AK58" s="342">
        <v>10571.54</v>
      </c>
      <c r="AL58" s="784">
        <f t="shared" si="5"/>
        <v>0.73383456350145682</v>
      </c>
      <c r="AM58" s="350" t="s">
        <v>313</v>
      </c>
      <c r="AN58" s="350" t="s">
        <v>313</v>
      </c>
      <c r="AO58" s="350" t="s">
        <v>313</v>
      </c>
      <c r="AP58" s="639">
        <f t="shared" si="6"/>
        <v>-1.0168952636214135</v>
      </c>
    </row>
    <row r="59" spans="1:42" x14ac:dyDescent="0.2">
      <c r="A59" s="638">
        <v>42401</v>
      </c>
      <c r="B59" s="341" t="s">
        <v>133</v>
      </c>
      <c r="C59" s="351" t="s">
        <v>168</v>
      </c>
      <c r="D59" s="342">
        <v>0</v>
      </c>
      <c r="E59" s="342">
        <v>0</v>
      </c>
      <c r="F59" s="342">
        <v>0</v>
      </c>
      <c r="G59" s="342">
        <v>10</v>
      </c>
      <c r="H59" s="342">
        <v>0</v>
      </c>
      <c r="I59" s="342">
        <v>10</v>
      </c>
      <c r="J59" s="342">
        <v>0</v>
      </c>
      <c r="K59" s="343">
        <v>10</v>
      </c>
      <c r="L59" s="342">
        <v>0</v>
      </c>
      <c r="M59" s="342">
        <v>0</v>
      </c>
      <c r="N59" s="354">
        <v>0</v>
      </c>
      <c r="O59" s="343" t="s">
        <v>311</v>
      </c>
      <c r="P59" s="343" t="s">
        <v>311</v>
      </c>
      <c r="Q59" s="343" t="s">
        <v>311</v>
      </c>
      <c r="R59" s="344" t="s">
        <v>312</v>
      </c>
      <c r="S59" s="344" t="s">
        <v>312</v>
      </c>
      <c r="T59" s="343">
        <v>2730.67</v>
      </c>
      <c r="U59" s="342">
        <v>0</v>
      </c>
      <c r="V59" s="342">
        <v>0</v>
      </c>
      <c r="W59" s="344" t="str">
        <f t="shared" si="7"/>
        <v>0.00%</v>
      </c>
      <c r="X59" s="342">
        <v>0</v>
      </c>
      <c r="Y59" s="344" t="str">
        <f t="shared" si="8"/>
        <v>0.00%</v>
      </c>
      <c r="Z59" s="342">
        <v>0</v>
      </c>
      <c r="AA59" s="344">
        <f t="shared" si="0"/>
        <v>0</v>
      </c>
      <c r="AB59" s="342">
        <v>0</v>
      </c>
      <c r="AC59" s="344" t="str">
        <f t="shared" si="1"/>
        <v>0.00%</v>
      </c>
      <c r="AD59" s="342">
        <v>2730.67</v>
      </c>
      <c r="AE59" s="342">
        <v>0</v>
      </c>
      <c r="AF59" s="344">
        <f t="shared" si="2"/>
        <v>0</v>
      </c>
      <c r="AG59" s="342">
        <v>0</v>
      </c>
      <c r="AH59" s="344">
        <f t="shared" si="3"/>
        <v>0</v>
      </c>
      <c r="AI59" s="342">
        <v>0</v>
      </c>
      <c r="AJ59" s="344">
        <f t="shared" si="4"/>
        <v>0</v>
      </c>
      <c r="AK59" s="342">
        <v>2730.67</v>
      </c>
      <c r="AL59" s="784">
        <f t="shared" si="5"/>
        <v>1</v>
      </c>
      <c r="AM59" s="350" t="s">
        <v>313</v>
      </c>
      <c r="AN59" s="350" t="s">
        <v>313</v>
      </c>
      <c r="AO59" s="350" t="s">
        <v>313</v>
      </c>
      <c r="AP59" s="639" t="str">
        <f t="shared" si="6"/>
        <v>0.00%</v>
      </c>
    </row>
    <row r="60" spans="1:42" x14ac:dyDescent="0.2">
      <c r="A60" s="638">
        <v>42401</v>
      </c>
      <c r="B60" s="341" t="s">
        <v>133</v>
      </c>
      <c r="C60" s="351" t="s">
        <v>169</v>
      </c>
      <c r="D60" s="342">
        <v>266005.88000058202</v>
      </c>
      <c r="E60" s="342">
        <v>10711</v>
      </c>
      <c r="F60" s="342">
        <v>255294.88000058199</v>
      </c>
      <c r="G60" s="342">
        <v>174384.01988008601</v>
      </c>
      <c r="H60" s="342">
        <v>90050.729913979798</v>
      </c>
      <c r="I60" s="342">
        <v>84333.2899661064</v>
      </c>
      <c r="J60" s="342">
        <v>6357.1700128912898</v>
      </c>
      <c r="K60" s="343">
        <v>168026.84986719489</v>
      </c>
      <c r="L60" s="342">
        <v>90883.520257918193</v>
      </c>
      <c r="M60" s="342">
        <v>2803.01000976563</v>
      </c>
      <c r="N60" s="354">
        <v>1304</v>
      </c>
      <c r="O60" s="343">
        <v>203.99223926424997</v>
      </c>
      <c r="P60" s="343">
        <v>132.14674059271331</v>
      </c>
      <c r="Q60" s="343">
        <v>133.73007659515812</v>
      </c>
      <c r="R60" s="344">
        <v>0.65556453067768528</v>
      </c>
      <c r="S60" s="344">
        <v>1.0507455383768021</v>
      </c>
      <c r="T60" s="343">
        <v>409005.88</v>
      </c>
      <c r="U60" s="342">
        <v>201685.96</v>
      </c>
      <c r="V60" s="342">
        <v>4358.96</v>
      </c>
      <c r="W60" s="344">
        <f t="shared" si="7"/>
        <v>2.161261002005296E-2</v>
      </c>
      <c r="X60" s="342">
        <v>3090.14</v>
      </c>
      <c r="Y60" s="344">
        <f t="shared" si="8"/>
        <v>1.5321542461359234E-2</v>
      </c>
      <c r="Z60" s="342">
        <v>3089.94</v>
      </c>
      <c r="AA60" s="344">
        <f t="shared" si="0"/>
        <v>1.5320550820691734E-2</v>
      </c>
      <c r="AB60" s="342">
        <v>17433.2</v>
      </c>
      <c r="AC60" s="344">
        <f t="shared" si="1"/>
        <v>8.6437350423400824E-2</v>
      </c>
      <c r="AD60" s="342">
        <v>207319.92</v>
      </c>
      <c r="AE60" s="342">
        <v>8214.5400000000009</v>
      </c>
      <c r="AF60" s="344">
        <f t="shared" si="2"/>
        <v>3.9622531206842067E-2</v>
      </c>
      <c r="AG60" s="342">
        <v>5813.38</v>
      </c>
      <c r="AH60" s="344">
        <f t="shared" si="3"/>
        <v>2.8040624364508725E-2</v>
      </c>
      <c r="AI60" s="342">
        <v>5945.7</v>
      </c>
      <c r="AJ60" s="344">
        <f t="shared" si="4"/>
        <v>2.8678865012103032E-2</v>
      </c>
      <c r="AK60" s="342">
        <v>160503.04000000001</v>
      </c>
      <c r="AL60" s="784">
        <f t="shared" si="5"/>
        <v>0.77418050325313648</v>
      </c>
      <c r="AM60" s="350">
        <v>45.372857466784339</v>
      </c>
      <c r="AN60" s="350">
        <v>23.413841898857349</v>
      </c>
      <c r="AO60" s="350">
        <v>517.82512696694698</v>
      </c>
      <c r="AP60" s="639">
        <f t="shared" si="6"/>
        <v>3.6891794350113055E-2</v>
      </c>
    </row>
    <row r="61" spans="1:42" x14ac:dyDescent="0.2">
      <c r="A61" s="638">
        <v>42401</v>
      </c>
      <c r="B61" s="341" t="s">
        <v>133</v>
      </c>
      <c r="C61" s="351" t="s">
        <v>170</v>
      </c>
      <c r="D61" s="342">
        <v>0</v>
      </c>
      <c r="E61" s="342">
        <v>0</v>
      </c>
      <c r="F61" s="342">
        <v>0</v>
      </c>
      <c r="G61" s="342">
        <v>0</v>
      </c>
      <c r="H61" s="342">
        <v>0</v>
      </c>
      <c r="I61" s="342">
        <v>0</v>
      </c>
      <c r="J61" s="342">
        <v>0</v>
      </c>
      <c r="K61" s="343">
        <v>0</v>
      </c>
      <c r="L61" s="342">
        <v>0</v>
      </c>
      <c r="M61" s="342">
        <v>0</v>
      </c>
      <c r="N61" s="354">
        <v>0</v>
      </c>
      <c r="O61" s="343" t="s">
        <v>311</v>
      </c>
      <c r="P61" s="343" t="s">
        <v>311</v>
      </c>
      <c r="Q61" s="343" t="s">
        <v>311</v>
      </c>
      <c r="R61" s="344" t="s">
        <v>312</v>
      </c>
      <c r="S61" s="344" t="s">
        <v>312</v>
      </c>
      <c r="T61" s="343">
        <v>192.58</v>
      </c>
      <c r="U61" s="342">
        <v>0</v>
      </c>
      <c r="V61" s="342">
        <v>0</v>
      </c>
      <c r="W61" s="344" t="str">
        <f t="shared" si="7"/>
        <v>0.00%</v>
      </c>
      <c r="X61" s="342">
        <v>0</v>
      </c>
      <c r="Y61" s="344" t="str">
        <f t="shared" si="8"/>
        <v>0.00%</v>
      </c>
      <c r="Z61" s="342">
        <v>0</v>
      </c>
      <c r="AA61" s="344">
        <f t="shared" si="0"/>
        <v>0</v>
      </c>
      <c r="AB61" s="342">
        <v>0</v>
      </c>
      <c r="AC61" s="344" t="str">
        <f t="shared" si="1"/>
        <v>0.00%</v>
      </c>
      <c r="AD61" s="342">
        <v>192.58</v>
      </c>
      <c r="AE61" s="342">
        <v>0</v>
      </c>
      <c r="AF61" s="344">
        <f t="shared" si="2"/>
        <v>0</v>
      </c>
      <c r="AG61" s="342">
        <v>0</v>
      </c>
      <c r="AH61" s="344">
        <f t="shared" si="3"/>
        <v>0</v>
      </c>
      <c r="AI61" s="342">
        <v>0</v>
      </c>
      <c r="AJ61" s="344">
        <f t="shared" si="4"/>
        <v>0</v>
      </c>
      <c r="AK61" s="342">
        <v>192.58</v>
      </c>
      <c r="AL61" s="784">
        <f t="shared" si="5"/>
        <v>1</v>
      </c>
      <c r="AM61" s="350" t="s">
        <v>313</v>
      </c>
      <c r="AN61" s="350" t="s">
        <v>313</v>
      </c>
      <c r="AO61" s="350" t="s">
        <v>313</v>
      </c>
      <c r="AP61" s="639" t="str">
        <f t="shared" si="6"/>
        <v>0.00%</v>
      </c>
    </row>
    <row r="62" spans="1:42" x14ac:dyDescent="0.2">
      <c r="A62" s="638">
        <v>42401</v>
      </c>
      <c r="B62" s="341" t="s">
        <v>133</v>
      </c>
      <c r="C62" s="351" t="s">
        <v>171</v>
      </c>
      <c r="D62" s="342">
        <v>273708.03000515501</v>
      </c>
      <c r="E62" s="342">
        <v>11776</v>
      </c>
      <c r="F62" s="342">
        <v>261932.03000515499</v>
      </c>
      <c r="G62" s="342">
        <v>166100.77963388001</v>
      </c>
      <c r="H62" s="342">
        <v>83789.319640755697</v>
      </c>
      <c r="I62" s="342">
        <v>82311.459993123994</v>
      </c>
      <c r="J62" s="342">
        <v>4827.1200017929104</v>
      </c>
      <c r="K62" s="343">
        <v>161273.65963208678</v>
      </c>
      <c r="L62" s="342">
        <v>79876.160241097197</v>
      </c>
      <c r="M62" s="342">
        <v>3198.1700000762899</v>
      </c>
      <c r="N62" s="354">
        <v>1500</v>
      </c>
      <c r="O62" s="343">
        <v>182.47202000343668</v>
      </c>
      <c r="P62" s="343">
        <v>127.08913317598767</v>
      </c>
      <c r="Q62" s="343">
        <v>110.73385308925313</v>
      </c>
      <c r="R62" s="344">
        <v>0.60685387867776974</v>
      </c>
      <c r="S62" s="344">
        <v>0.89394455162174502</v>
      </c>
      <c r="T62" s="343">
        <v>448458.4</v>
      </c>
      <c r="U62" s="342">
        <v>225704.99</v>
      </c>
      <c r="V62" s="342">
        <v>5324.45</v>
      </c>
      <c r="W62" s="344">
        <f t="shared" si="7"/>
        <v>2.359030697549044E-2</v>
      </c>
      <c r="X62" s="342">
        <v>7696.33</v>
      </c>
      <c r="Y62" s="344">
        <f t="shared" si="8"/>
        <v>3.4099068877475859E-2</v>
      </c>
      <c r="Z62" s="342">
        <v>8389.1299999999992</v>
      </c>
      <c r="AA62" s="344">
        <f t="shared" si="0"/>
        <v>3.7168562378705049E-2</v>
      </c>
      <c r="AB62" s="342">
        <v>17204.73</v>
      </c>
      <c r="AC62" s="344">
        <f t="shared" si="1"/>
        <v>7.6226626624426863E-2</v>
      </c>
      <c r="AD62" s="342">
        <v>222753.41</v>
      </c>
      <c r="AE62" s="342">
        <v>6567.24</v>
      </c>
      <c r="AF62" s="344">
        <f t="shared" si="2"/>
        <v>2.9482107591529125E-2</v>
      </c>
      <c r="AG62" s="342">
        <v>7181.47</v>
      </c>
      <c r="AH62" s="344">
        <f t="shared" si="3"/>
        <v>3.2239551349629171E-2</v>
      </c>
      <c r="AI62" s="342">
        <v>5958.97</v>
      </c>
      <c r="AJ62" s="344">
        <f t="shared" si="4"/>
        <v>2.6751419877253508E-2</v>
      </c>
      <c r="AK62" s="342">
        <v>182183.12</v>
      </c>
      <c r="AL62" s="784">
        <f t="shared" si="5"/>
        <v>0.81786905080375649</v>
      </c>
      <c r="AM62" s="350">
        <v>51.69699950654072</v>
      </c>
      <c r="AN62" s="350">
        <v>27.243437301892943</v>
      </c>
      <c r="AO62" s="350">
        <v>571.16258974358971</v>
      </c>
      <c r="AP62" s="639">
        <f t="shared" si="6"/>
        <v>2.5321441108100189E-2</v>
      </c>
    </row>
    <row r="63" spans="1:42" x14ac:dyDescent="0.2">
      <c r="A63" s="638">
        <v>42401</v>
      </c>
      <c r="B63" s="341" t="s">
        <v>133</v>
      </c>
      <c r="C63" s="351" t="s">
        <v>172</v>
      </c>
      <c r="D63" s="342">
        <v>0</v>
      </c>
      <c r="E63" s="342">
        <v>0</v>
      </c>
      <c r="F63" s="342">
        <v>0</v>
      </c>
      <c r="G63" s="342">
        <v>0</v>
      </c>
      <c r="H63" s="342">
        <v>0</v>
      </c>
      <c r="I63" s="342">
        <v>0</v>
      </c>
      <c r="J63" s="342">
        <v>0</v>
      </c>
      <c r="K63" s="343">
        <v>0</v>
      </c>
      <c r="L63" s="342">
        <v>0</v>
      </c>
      <c r="M63" s="342">
        <v>0</v>
      </c>
      <c r="N63" s="354">
        <v>0</v>
      </c>
      <c r="O63" s="343" t="s">
        <v>311</v>
      </c>
      <c r="P63" s="343" t="s">
        <v>311</v>
      </c>
      <c r="Q63" s="343" t="s">
        <v>311</v>
      </c>
      <c r="R63" s="344" t="s">
        <v>312</v>
      </c>
      <c r="S63" s="344" t="s">
        <v>312</v>
      </c>
      <c r="T63" s="343">
        <v>4555.88</v>
      </c>
      <c r="U63" s="342">
        <v>157</v>
      </c>
      <c r="V63" s="342">
        <v>0</v>
      </c>
      <c r="W63" s="344">
        <f t="shared" si="7"/>
        <v>0</v>
      </c>
      <c r="X63" s="342">
        <v>0</v>
      </c>
      <c r="Y63" s="344">
        <f t="shared" si="8"/>
        <v>0</v>
      </c>
      <c r="Z63" s="342">
        <v>0</v>
      </c>
      <c r="AA63" s="344">
        <f t="shared" si="0"/>
        <v>0</v>
      </c>
      <c r="AB63" s="342">
        <v>157</v>
      </c>
      <c r="AC63" s="344">
        <f t="shared" si="1"/>
        <v>1</v>
      </c>
      <c r="AD63" s="342">
        <v>4398.88</v>
      </c>
      <c r="AE63" s="342">
        <v>0</v>
      </c>
      <c r="AF63" s="344">
        <f t="shared" si="2"/>
        <v>0</v>
      </c>
      <c r="AG63" s="342">
        <v>0</v>
      </c>
      <c r="AH63" s="344">
        <f t="shared" si="3"/>
        <v>0</v>
      </c>
      <c r="AI63" s="342">
        <v>0</v>
      </c>
      <c r="AJ63" s="344">
        <f t="shared" si="4"/>
        <v>0</v>
      </c>
      <c r="AK63" s="342">
        <v>4368.88</v>
      </c>
      <c r="AL63" s="784">
        <f t="shared" si="5"/>
        <v>0.99318008220274256</v>
      </c>
      <c r="AM63" s="350" t="s">
        <v>313</v>
      </c>
      <c r="AN63" s="350" t="s">
        <v>313</v>
      </c>
      <c r="AO63" s="350" t="s">
        <v>313</v>
      </c>
      <c r="AP63" s="639" t="str">
        <f t="shared" si="6"/>
        <v>0.00%</v>
      </c>
    </row>
    <row r="64" spans="1:42" x14ac:dyDescent="0.2">
      <c r="A64" s="638">
        <v>42401</v>
      </c>
      <c r="B64" s="341" t="s">
        <v>133</v>
      </c>
      <c r="C64" s="351" t="s">
        <v>173</v>
      </c>
      <c r="D64" s="342">
        <v>255414.05999998699</v>
      </c>
      <c r="E64" s="342">
        <v>20686</v>
      </c>
      <c r="F64" s="342">
        <v>234728.05999998699</v>
      </c>
      <c r="G64" s="342">
        <v>167268.459770232</v>
      </c>
      <c r="H64" s="342">
        <v>81592.3497958183</v>
      </c>
      <c r="I64" s="342">
        <v>85676.109974414096</v>
      </c>
      <c r="J64" s="342">
        <v>4907.8299939632398</v>
      </c>
      <c r="K64" s="343">
        <v>162360.62977626914</v>
      </c>
      <c r="L64" s="342">
        <v>79682.710259951695</v>
      </c>
      <c r="M64" s="342">
        <v>3901.9299926757799</v>
      </c>
      <c r="N64" s="354">
        <v>1466</v>
      </c>
      <c r="O64" s="343">
        <v>174.22514324692153</v>
      </c>
      <c r="P64" s="343">
        <v>117.20969969124116</v>
      </c>
      <c r="Q64" s="343">
        <v>114.09854008883518</v>
      </c>
      <c r="R64" s="344">
        <v>0.65489135472902671</v>
      </c>
      <c r="S64" s="344">
        <v>1.0020780416562565</v>
      </c>
      <c r="T64" s="343">
        <v>497623.42</v>
      </c>
      <c r="U64" s="342">
        <v>224131.25</v>
      </c>
      <c r="V64" s="342">
        <v>6686.19</v>
      </c>
      <c r="W64" s="344">
        <f t="shared" si="7"/>
        <v>2.9831583056802651E-2</v>
      </c>
      <c r="X64" s="342">
        <v>5348.19</v>
      </c>
      <c r="Y64" s="344">
        <f t="shared" si="8"/>
        <v>2.3861866651794426E-2</v>
      </c>
      <c r="Z64" s="342">
        <v>6304.39</v>
      </c>
      <c r="AA64" s="344">
        <f t="shared" si="0"/>
        <v>2.8128116895792088E-2</v>
      </c>
      <c r="AB64" s="342">
        <v>30229.99</v>
      </c>
      <c r="AC64" s="344">
        <f t="shared" si="1"/>
        <v>0.1348762834276791</v>
      </c>
      <c r="AD64" s="342">
        <v>273492.17</v>
      </c>
      <c r="AE64" s="342">
        <v>11594.88</v>
      </c>
      <c r="AF64" s="344">
        <f t="shared" si="2"/>
        <v>4.239565615351986E-2</v>
      </c>
      <c r="AG64" s="342">
        <v>7424.23</v>
      </c>
      <c r="AH64" s="344">
        <f t="shared" si="3"/>
        <v>2.7146042243183781E-2</v>
      </c>
      <c r="AI64" s="342">
        <v>8559.4699999999993</v>
      </c>
      <c r="AJ64" s="344">
        <f t="shared" si="4"/>
        <v>3.1296947184996191E-2</v>
      </c>
      <c r="AK64" s="342">
        <v>214472.75</v>
      </c>
      <c r="AL64" s="784">
        <f t="shared" si="5"/>
        <v>0.78420069576397744</v>
      </c>
      <c r="AM64" s="350">
        <v>56.766477626363866</v>
      </c>
      <c r="AN64" s="350">
        <v>27.440948969401802</v>
      </c>
      <c r="AO64" s="350">
        <v>457.05178397348408</v>
      </c>
      <c r="AP64" s="639">
        <f t="shared" si="6"/>
        <v>2.8562221773077118E-2</v>
      </c>
    </row>
    <row r="65" spans="1:42" x14ac:dyDescent="0.2">
      <c r="A65" s="638">
        <v>42401</v>
      </c>
      <c r="B65" s="341" t="s">
        <v>133</v>
      </c>
      <c r="C65" s="351" t="s">
        <v>174</v>
      </c>
      <c r="D65" s="342">
        <v>182760.679999985</v>
      </c>
      <c r="E65" s="342">
        <v>8215</v>
      </c>
      <c r="F65" s="342">
        <v>174545.679999985</v>
      </c>
      <c r="G65" s="342">
        <v>116499.31979358201</v>
      </c>
      <c r="H65" s="342">
        <v>59611.0997902155</v>
      </c>
      <c r="I65" s="342">
        <v>56888.220003366499</v>
      </c>
      <c r="J65" s="342">
        <v>2326.4099987745299</v>
      </c>
      <c r="K65" s="343">
        <v>114172.90979480746</v>
      </c>
      <c r="L65" s="342">
        <v>46146.470162033998</v>
      </c>
      <c r="M65" s="342">
        <v>1515.5599975585901</v>
      </c>
      <c r="N65" s="354">
        <v>978</v>
      </c>
      <c r="O65" s="343">
        <v>186.87186094067997</v>
      </c>
      <c r="P65" s="343">
        <v>138.13767877340737</v>
      </c>
      <c r="Q65" s="343">
        <v>119.11995888914313</v>
      </c>
      <c r="R65" s="344">
        <v>0.63744192565704805</v>
      </c>
      <c r="S65" s="344">
        <v>0.87743733127159995</v>
      </c>
      <c r="T65" s="343">
        <v>225758.86</v>
      </c>
      <c r="U65" s="342">
        <v>139060.09</v>
      </c>
      <c r="V65" s="342">
        <v>3436.49</v>
      </c>
      <c r="W65" s="344">
        <f t="shared" si="7"/>
        <v>2.4712266474155163E-2</v>
      </c>
      <c r="X65" s="342">
        <v>4119.3500000000004</v>
      </c>
      <c r="Y65" s="344">
        <f t="shared" si="8"/>
        <v>2.9622805508036133E-2</v>
      </c>
      <c r="Z65" s="342">
        <v>3350.07</v>
      </c>
      <c r="AA65" s="344">
        <f t="shared" si="0"/>
        <v>2.4090808513067986E-2</v>
      </c>
      <c r="AB65" s="342">
        <v>11868.06</v>
      </c>
      <c r="AC65" s="344">
        <f t="shared" si="1"/>
        <v>8.5344831863692877E-2</v>
      </c>
      <c r="AD65" s="342">
        <v>86698.77</v>
      </c>
      <c r="AE65" s="342">
        <v>5648.7</v>
      </c>
      <c r="AF65" s="344">
        <f t="shared" si="2"/>
        <v>6.5153173453325802E-2</v>
      </c>
      <c r="AG65" s="342">
        <v>5801.47</v>
      </c>
      <c r="AH65" s="344">
        <f t="shared" si="3"/>
        <v>6.6915251508181714E-2</v>
      </c>
      <c r="AI65" s="342">
        <v>6171.78</v>
      </c>
      <c r="AJ65" s="344">
        <f t="shared" si="4"/>
        <v>7.1186477039985679E-2</v>
      </c>
      <c r="AK65" s="342">
        <v>54232.81</v>
      </c>
      <c r="AL65" s="784">
        <f t="shared" si="5"/>
        <v>0.62553148101178357</v>
      </c>
      <c r="AM65" s="350">
        <v>42.055686995768141</v>
      </c>
      <c r="AN65" s="350">
        <v>27.270462074797489</v>
      </c>
      <c r="AO65" s="350">
        <v>322.54006696428576</v>
      </c>
      <c r="AP65" s="639">
        <f t="shared" si="6"/>
        <v>1.7220083261549883E-2</v>
      </c>
    </row>
    <row r="66" spans="1:42" x14ac:dyDescent="0.2">
      <c r="A66" s="638">
        <v>42401</v>
      </c>
      <c r="B66" s="341" t="s">
        <v>133</v>
      </c>
      <c r="C66" s="351" t="s">
        <v>175</v>
      </c>
      <c r="D66" s="342">
        <v>0</v>
      </c>
      <c r="E66" s="342">
        <v>0</v>
      </c>
      <c r="F66" s="342">
        <v>0</v>
      </c>
      <c r="G66" s="342">
        <v>3837.7200172543498</v>
      </c>
      <c r="H66" s="342">
        <v>2050.06001740694</v>
      </c>
      <c r="I66" s="342">
        <v>1787.6599998474101</v>
      </c>
      <c r="J66" s="342">
        <v>291.01000213623001</v>
      </c>
      <c r="K66" s="343">
        <v>3546.7100151181198</v>
      </c>
      <c r="L66" s="342">
        <v>1659.0499984621999</v>
      </c>
      <c r="M66" s="342">
        <v>-3.4599990844726598</v>
      </c>
      <c r="N66" s="354">
        <v>0</v>
      </c>
      <c r="O66" s="343" t="s">
        <v>311</v>
      </c>
      <c r="P66" s="343" t="s">
        <v>311</v>
      </c>
      <c r="Q66" s="343" t="s">
        <v>311</v>
      </c>
      <c r="R66" s="344" t="s">
        <v>312</v>
      </c>
      <c r="S66" s="344">
        <v>-1.9714990312696929</v>
      </c>
      <c r="T66" s="343">
        <v>28946.31</v>
      </c>
      <c r="U66" s="342">
        <v>6072.56</v>
      </c>
      <c r="V66" s="342">
        <v>0</v>
      </c>
      <c r="W66" s="344">
        <f t="shared" si="7"/>
        <v>0</v>
      </c>
      <c r="X66" s="342">
        <v>837.04</v>
      </c>
      <c r="Y66" s="344">
        <f t="shared" si="8"/>
        <v>0.13783972492655486</v>
      </c>
      <c r="Z66" s="342">
        <v>643.41</v>
      </c>
      <c r="AA66" s="344">
        <f t="shared" ref="AA66:AA129" si="11">IFERROR(Z66/U66,"0.00"%)</f>
        <v>0.10595366698723437</v>
      </c>
      <c r="AB66" s="342">
        <v>1898.68</v>
      </c>
      <c r="AC66" s="344">
        <f t="shared" ref="AC66:AC129" si="12">IFERROR(AB66/U66,"0.00%")</f>
        <v>0.31266549857061932</v>
      </c>
      <c r="AD66" s="342">
        <v>22873.75</v>
      </c>
      <c r="AE66" s="342">
        <v>0</v>
      </c>
      <c r="AF66" s="344">
        <f t="shared" ref="AF66:AF129" si="13">IFERROR(AE66/AD66,"0.00%")</f>
        <v>0</v>
      </c>
      <c r="AG66" s="342">
        <v>2116.59</v>
      </c>
      <c r="AH66" s="344">
        <f t="shared" ref="AH66:AH129" si="14">IFERROR(AG66/AD66,"0.00%")</f>
        <v>9.2533581070003826E-2</v>
      </c>
      <c r="AI66" s="342">
        <v>2416.9299999999998</v>
      </c>
      <c r="AJ66" s="344">
        <f t="shared" ref="AJ66:AJ129" si="15">IFERROR(AI66/AD66,"0.00"%)</f>
        <v>0.10566391606098693</v>
      </c>
      <c r="AK66" s="342">
        <v>16929.810000000001</v>
      </c>
      <c r="AL66" s="784">
        <f t="shared" ref="AL66:AL129" si="16">IFERROR(AK66/AD66,"0.00%")</f>
        <v>0.7401414284933604</v>
      </c>
      <c r="AM66" s="350" t="s">
        <v>313</v>
      </c>
      <c r="AN66" s="350" t="s">
        <v>313</v>
      </c>
      <c r="AO66" s="350" t="s">
        <v>313</v>
      </c>
      <c r="AP66" s="639">
        <f t="shared" ref="AP66:AP129" si="17">IFERROR(J66/(D66-L66-M66),"0.00%")</f>
        <v>-0.17577419665835714</v>
      </c>
    </row>
    <row r="67" spans="1:42" x14ac:dyDescent="0.2">
      <c r="A67" s="638">
        <v>42401</v>
      </c>
      <c r="B67" s="341" t="s">
        <v>133</v>
      </c>
      <c r="C67" s="351" t="s">
        <v>176</v>
      </c>
      <c r="D67" s="342">
        <v>0</v>
      </c>
      <c r="E67" s="342">
        <v>0</v>
      </c>
      <c r="F67" s="342">
        <v>0</v>
      </c>
      <c r="G67" s="342">
        <v>0</v>
      </c>
      <c r="H67" s="342">
        <v>0</v>
      </c>
      <c r="I67" s="342">
        <v>0</v>
      </c>
      <c r="J67" s="342">
        <v>0</v>
      </c>
      <c r="K67" s="343">
        <v>0</v>
      </c>
      <c r="L67" s="342">
        <v>0</v>
      </c>
      <c r="M67" s="342">
        <v>0</v>
      </c>
      <c r="N67" s="354">
        <v>0</v>
      </c>
      <c r="O67" s="343" t="s">
        <v>311</v>
      </c>
      <c r="P67" s="343" t="s">
        <v>311</v>
      </c>
      <c r="Q67" s="343" t="s">
        <v>311</v>
      </c>
      <c r="R67" s="344" t="s">
        <v>312</v>
      </c>
      <c r="S67" s="344" t="s">
        <v>312</v>
      </c>
      <c r="T67" s="343">
        <v>538.66</v>
      </c>
      <c r="U67" s="342">
        <v>0</v>
      </c>
      <c r="V67" s="342">
        <v>0</v>
      </c>
      <c r="W67" s="344" t="str">
        <f t="shared" ref="W67:W130" si="18">IFERROR(V67/U67,"0.00%")</f>
        <v>0.00%</v>
      </c>
      <c r="X67" s="342">
        <v>0</v>
      </c>
      <c r="Y67" s="344" t="str">
        <f t="shared" ref="Y67:Y130" si="19">IFERROR(X67/U67,"0.00%")</f>
        <v>0.00%</v>
      </c>
      <c r="Z67" s="342">
        <v>0</v>
      </c>
      <c r="AA67" s="344">
        <f t="shared" si="11"/>
        <v>0</v>
      </c>
      <c r="AB67" s="342">
        <v>0</v>
      </c>
      <c r="AC67" s="344" t="str">
        <f t="shared" si="12"/>
        <v>0.00%</v>
      </c>
      <c r="AD67" s="342">
        <v>538.66</v>
      </c>
      <c r="AE67" s="342">
        <v>0</v>
      </c>
      <c r="AF67" s="344">
        <f t="shared" si="13"/>
        <v>0</v>
      </c>
      <c r="AG67" s="342">
        <v>0</v>
      </c>
      <c r="AH67" s="344">
        <f t="shared" si="14"/>
        <v>0</v>
      </c>
      <c r="AI67" s="342">
        <v>0</v>
      </c>
      <c r="AJ67" s="344">
        <f t="shared" si="15"/>
        <v>0</v>
      </c>
      <c r="AK67" s="342">
        <v>538.66</v>
      </c>
      <c r="AL67" s="784">
        <f t="shared" si="16"/>
        <v>1</v>
      </c>
      <c r="AM67" s="350" t="s">
        <v>313</v>
      </c>
      <c r="AN67" s="350" t="s">
        <v>313</v>
      </c>
      <c r="AO67" s="350" t="s">
        <v>313</v>
      </c>
      <c r="AP67" s="639" t="str">
        <f t="shared" si="17"/>
        <v>0.00%</v>
      </c>
    </row>
    <row r="68" spans="1:42" x14ac:dyDescent="0.2">
      <c r="A68" s="638">
        <v>42401</v>
      </c>
      <c r="B68" s="341" t="s">
        <v>133</v>
      </c>
      <c r="C68" s="351" t="s">
        <v>177</v>
      </c>
      <c r="D68" s="342">
        <v>169504.539999386</v>
      </c>
      <c r="E68" s="342">
        <v>8643</v>
      </c>
      <c r="F68" s="342">
        <v>160861.539999386</v>
      </c>
      <c r="G68" s="342">
        <v>104003.199774414</v>
      </c>
      <c r="H68" s="342">
        <v>44743.619810372598</v>
      </c>
      <c r="I68" s="342">
        <v>59259.579964041703</v>
      </c>
      <c r="J68" s="342">
        <v>2812.17999601364</v>
      </c>
      <c r="K68" s="343">
        <v>101191.01977840066</v>
      </c>
      <c r="L68" s="342">
        <v>39870.310127168901</v>
      </c>
      <c r="M68" s="342">
        <v>1611.2899932861301</v>
      </c>
      <c r="N68" s="354">
        <v>884</v>
      </c>
      <c r="O68" s="343">
        <v>191.74721719387557</v>
      </c>
      <c r="P68" s="343">
        <v>144.82233017978618</v>
      </c>
      <c r="Q68" s="343">
        <v>117.65067847784424</v>
      </c>
      <c r="R68" s="344">
        <v>0.61357176494972365</v>
      </c>
      <c r="S68" s="344">
        <v>0.83062509860706935</v>
      </c>
      <c r="T68" s="343">
        <v>261743.96999999997</v>
      </c>
      <c r="U68" s="342">
        <v>116418.61</v>
      </c>
      <c r="V68" s="342">
        <v>3996.51</v>
      </c>
      <c r="W68" s="344">
        <f t="shared" si="18"/>
        <v>3.4328789873028037E-2</v>
      </c>
      <c r="X68" s="342">
        <v>2219.48</v>
      </c>
      <c r="Y68" s="344">
        <f t="shared" si="19"/>
        <v>1.9064649543573831E-2</v>
      </c>
      <c r="Z68" s="342">
        <v>4511.88</v>
      </c>
      <c r="AA68" s="344">
        <f t="shared" si="11"/>
        <v>3.8755659425928554E-2</v>
      </c>
      <c r="AB68" s="342">
        <v>14595.88</v>
      </c>
      <c r="AC68" s="344">
        <f t="shared" si="12"/>
        <v>0.12537411329683457</v>
      </c>
      <c r="AD68" s="342">
        <v>145325.35999999999</v>
      </c>
      <c r="AE68" s="342">
        <v>2552.7399999999998</v>
      </c>
      <c r="AF68" s="344">
        <f t="shared" si="13"/>
        <v>1.7565688466211267E-2</v>
      </c>
      <c r="AG68" s="342">
        <v>2877.65</v>
      </c>
      <c r="AH68" s="344">
        <f t="shared" si="14"/>
        <v>1.9801430390401237E-2</v>
      </c>
      <c r="AI68" s="342">
        <v>4644.87</v>
      </c>
      <c r="AJ68" s="344">
        <f t="shared" si="15"/>
        <v>3.1961868183226938E-2</v>
      </c>
      <c r="AK68" s="342">
        <v>118871.96</v>
      </c>
      <c r="AL68" s="784">
        <f t="shared" si="16"/>
        <v>0.81797120612672158</v>
      </c>
      <c r="AM68" s="350">
        <f>IFERROR(T68/(D68+D18)*60,"0.00")</f>
        <v>54.475860255510717</v>
      </c>
      <c r="AN68" s="350">
        <f>IFERROR(U68/(F68+F18)*60,"0.00")</f>
        <v>25.847903851458216</v>
      </c>
      <c r="AO68" s="350">
        <f>IFERROR(AD68/(E68+E18)*60,"0.00")</f>
        <v>483.15629190447157</v>
      </c>
      <c r="AP68" s="639">
        <f t="shared" si="17"/>
        <v>2.1966219481235696E-2</v>
      </c>
    </row>
    <row r="69" spans="1:42" x14ac:dyDescent="0.2">
      <c r="A69" s="638">
        <v>42401</v>
      </c>
      <c r="B69" s="341" t="s">
        <v>134</v>
      </c>
      <c r="C69" s="351" t="s">
        <v>178</v>
      </c>
      <c r="D69" s="342">
        <v>459727.4502463846</v>
      </c>
      <c r="E69" s="342">
        <v>10962</v>
      </c>
      <c r="F69" s="342">
        <v>448765.4502463846</v>
      </c>
      <c r="G69" s="342">
        <v>241328.60060256757</v>
      </c>
      <c r="H69" s="342">
        <v>142136.21053475142</v>
      </c>
      <c r="I69" s="342">
        <v>99192.390067815693</v>
      </c>
      <c r="J69" s="342">
        <v>11727.990005254744</v>
      </c>
      <c r="K69" s="343">
        <v>229600.61059731236</v>
      </c>
      <c r="L69" s="342">
        <v>95967.289499819293</v>
      </c>
      <c r="M69" s="342">
        <v>9031.2600097656195</v>
      </c>
      <c r="N69" s="354">
        <v>2309</v>
      </c>
      <c r="O69" s="343">
        <v>199.1024037446447</v>
      </c>
      <c r="P69" s="343">
        <v>153.62880066556937</v>
      </c>
      <c r="Q69" s="343">
        <v>104.51650091059641</v>
      </c>
      <c r="R69" s="344">
        <v>0.52493841834597943</v>
      </c>
      <c r="S69" s="344">
        <v>0.70358005781345212</v>
      </c>
      <c r="T69" s="343">
        <v>619397.43000000005</v>
      </c>
      <c r="U69" s="342">
        <v>549215.42000000004</v>
      </c>
      <c r="V69" s="342">
        <v>27580.32</v>
      </c>
      <c r="W69" s="344">
        <f t="shared" si="18"/>
        <v>5.0217672329739026E-2</v>
      </c>
      <c r="X69" s="342">
        <v>14075.99</v>
      </c>
      <c r="Y69" s="344">
        <f t="shared" si="19"/>
        <v>2.5629269476811118E-2</v>
      </c>
      <c r="Z69" s="342">
        <v>7382.26</v>
      </c>
      <c r="AA69" s="344">
        <f t="shared" si="11"/>
        <v>1.3441465281510122E-2</v>
      </c>
      <c r="AB69" s="342">
        <v>5591.98</v>
      </c>
      <c r="AC69" s="344">
        <f t="shared" si="12"/>
        <v>1.0181760737890424E-2</v>
      </c>
      <c r="AD69" s="342">
        <v>70182.009999999995</v>
      </c>
      <c r="AE69" s="342">
        <v>10949.1</v>
      </c>
      <c r="AF69" s="344">
        <f t="shared" si="13"/>
        <v>0.15601006582741078</v>
      </c>
      <c r="AG69" s="342">
        <v>8474.4</v>
      </c>
      <c r="AH69" s="344">
        <f t="shared" si="14"/>
        <v>0.12074889277180861</v>
      </c>
      <c r="AI69" s="342">
        <v>8541.08</v>
      </c>
      <c r="AJ69" s="344">
        <f t="shared" si="15"/>
        <v>0.12169899380197291</v>
      </c>
      <c r="AK69" s="342">
        <v>5808.88</v>
      </c>
      <c r="AL69" s="784">
        <f t="shared" si="16"/>
        <v>8.2768789323645772E-2</v>
      </c>
      <c r="AM69" s="350">
        <f>IFERROR(T69/(D69+D19)*60,"0.00")</f>
        <v>43.320842135339255</v>
      </c>
      <c r="AN69" s="350">
        <f>IFERROR(U69/(F69+F19)*60,"0.00")</f>
        <v>39.57829210308617</v>
      </c>
      <c r="AO69" s="350">
        <f>IFERROR(AD69/(E69+E19)*60,"0.00")</f>
        <v>166.6140002033614</v>
      </c>
      <c r="AP69" s="639">
        <f t="shared" si="17"/>
        <v>3.3061839565072908E-2</v>
      </c>
    </row>
    <row r="70" spans="1:42" x14ac:dyDescent="0.2">
      <c r="A70" s="638">
        <v>42401</v>
      </c>
      <c r="B70" s="341" t="s">
        <v>135</v>
      </c>
      <c r="C70" s="351" t="s">
        <v>180</v>
      </c>
      <c r="D70" s="342">
        <v>0</v>
      </c>
      <c r="E70" s="342">
        <v>0</v>
      </c>
      <c r="F70" s="342">
        <v>0</v>
      </c>
      <c r="G70" s="342">
        <v>0</v>
      </c>
      <c r="H70" s="342">
        <v>0</v>
      </c>
      <c r="I70" s="342">
        <v>0</v>
      </c>
      <c r="J70" s="342">
        <v>0</v>
      </c>
      <c r="K70" s="343">
        <v>0</v>
      </c>
      <c r="L70" s="342">
        <v>0</v>
      </c>
      <c r="M70" s="342">
        <v>0</v>
      </c>
      <c r="N70" s="354">
        <v>0</v>
      </c>
      <c r="O70" s="343" t="s">
        <v>311</v>
      </c>
      <c r="P70" s="343" t="s">
        <v>311</v>
      </c>
      <c r="Q70" s="343" t="s">
        <v>311</v>
      </c>
      <c r="R70" s="344" t="s">
        <v>312</v>
      </c>
      <c r="S70" s="344" t="s">
        <v>312</v>
      </c>
      <c r="T70" s="343">
        <v>2042.44</v>
      </c>
      <c r="U70" s="342">
        <v>0</v>
      </c>
      <c r="V70" s="342">
        <v>0</v>
      </c>
      <c r="W70" s="344" t="str">
        <f t="shared" si="18"/>
        <v>0.00%</v>
      </c>
      <c r="X70" s="342">
        <v>0</v>
      </c>
      <c r="Y70" s="344" t="str">
        <f t="shared" si="19"/>
        <v>0.00%</v>
      </c>
      <c r="Z70" s="342">
        <v>0</v>
      </c>
      <c r="AA70" s="344">
        <f t="shared" si="11"/>
        <v>0</v>
      </c>
      <c r="AB70" s="342">
        <v>-125.21</v>
      </c>
      <c r="AC70" s="344" t="str">
        <f t="shared" si="12"/>
        <v>0.00%</v>
      </c>
      <c r="AD70" s="342">
        <v>2042.44</v>
      </c>
      <c r="AE70" s="342">
        <v>0</v>
      </c>
      <c r="AF70" s="344">
        <f t="shared" si="13"/>
        <v>0</v>
      </c>
      <c r="AG70" s="342">
        <v>0</v>
      </c>
      <c r="AH70" s="344">
        <f t="shared" si="14"/>
        <v>0</v>
      </c>
      <c r="AI70" s="342">
        <v>0</v>
      </c>
      <c r="AJ70" s="344">
        <f t="shared" si="15"/>
        <v>0</v>
      </c>
      <c r="AK70" s="342">
        <v>1959.89</v>
      </c>
      <c r="AL70" s="784">
        <f t="shared" si="16"/>
        <v>0.95958265603885551</v>
      </c>
      <c r="AM70" s="350" t="s">
        <v>313</v>
      </c>
      <c r="AN70" s="350" t="s">
        <v>313</v>
      </c>
      <c r="AO70" s="350" t="s">
        <v>313</v>
      </c>
      <c r="AP70" s="639" t="str">
        <f t="shared" si="17"/>
        <v>0.00%</v>
      </c>
    </row>
    <row r="71" spans="1:42" x14ac:dyDescent="0.2">
      <c r="A71" s="638">
        <v>42401</v>
      </c>
      <c r="B71" s="341" t="s">
        <v>135</v>
      </c>
      <c r="C71" s="351" t="s">
        <v>181</v>
      </c>
      <c r="D71" s="342">
        <v>106743.279999994</v>
      </c>
      <c r="E71" s="342">
        <v>4379</v>
      </c>
      <c r="F71" s="342">
        <v>102364.279999994</v>
      </c>
      <c r="G71" s="342">
        <v>65657.190328784302</v>
      </c>
      <c r="H71" s="342">
        <v>31492.130253978099</v>
      </c>
      <c r="I71" s="342">
        <v>34165.060074806199</v>
      </c>
      <c r="J71" s="342">
        <v>2862.5900006294301</v>
      </c>
      <c r="K71" s="343">
        <v>62794.600328154869</v>
      </c>
      <c r="L71" s="342">
        <v>32975.179684162104</v>
      </c>
      <c r="M71" s="342">
        <v>4129.6100006103497</v>
      </c>
      <c r="N71" s="354">
        <v>780</v>
      </c>
      <c r="O71" s="343">
        <v>136.85035897435128</v>
      </c>
      <c r="P71" s="343">
        <v>89.280115788745562</v>
      </c>
      <c r="Q71" s="343">
        <v>84.175885036902955</v>
      </c>
      <c r="R71" s="344">
        <v>0.61509436780271309</v>
      </c>
      <c r="S71" s="344">
        <v>0.98324680040946821</v>
      </c>
      <c r="T71" s="343">
        <v>165253.76000000001</v>
      </c>
      <c r="U71" s="342">
        <v>82207.429999999993</v>
      </c>
      <c r="V71" s="342">
        <v>3287.68</v>
      </c>
      <c r="W71" s="344">
        <f t="shared" si="18"/>
        <v>3.9992492162813024E-2</v>
      </c>
      <c r="X71" s="342">
        <v>2841</v>
      </c>
      <c r="Y71" s="344">
        <f t="shared" si="19"/>
        <v>3.4558920039222736E-2</v>
      </c>
      <c r="Z71" s="342">
        <v>1973</v>
      </c>
      <c r="AA71" s="344">
        <f t="shared" si="11"/>
        <v>2.4000263723120894E-2</v>
      </c>
      <c r="AB71" s="342">
        <v>6155.12</v>
      </c>
      <c r="AC71" s="344">
        <f t="shared" si="12"/>
        <v>7.487303763175665E-2</v>
      </c>
      <c r="AD71" s="342">
        <v>83046.33</v>
      </c>
      <c r="AE71" s="342">
        <v>3409.06</v>
      </c>
      <c r="AF71" s="344">
        <f t="shared" si="13"/>
        <v>4.1050098180136316E-2</v>
      </c>
      <c r="AG71" s="342">
        <v>2244.94</v>
      </c>
      <c r="AH71" s="344">
        <f t="shared" si="14"/>
        <v>2.7032380600081906E-2</v>
      </c>
      <c r="AI71" s="342">
        <v>2155.8200000000002</v>
      </c>
      <c r="AJ71" s="344">
        <f t="shared" si="15"/>
        <v>2.5959244677037505E-2</v>
      </c>
      <c r="AK71" s="342">
        <v>59916.37</v>
      </c>
      <c r="AL71" s="784">
        <f t="shared" si="16"/>
        <v>0.72148125028523236</v>
      </c>
      <c r="AM71" s="350">
        <v>44.533441630559913</v>
      </c>
      <c r="AN71" s="350">
        <v>23.537182285170431</v>
      </c>
      <c r="AO71" s="350">
        <v>380.74270650263622</v>
      </c>
      <c r="AP71" s="639">
        <f t="shared" si="17"/>
        <v>4.1106433922846353E-2</v>
      </c>
    </row>
    <row r="72" spans="1:42" x14ac:dyDescent="0.2">
      <c r="A72" s="638">
        <v>42401</v>
      </c>
      <c r="B72" s="341" t="s">
        <v>135</v>
      </c>
      <c r="C72" s="351" t="s">
        <v>182</v>
      </c>
      <c r="D72" s="342">
        <v>0</v>
      </c>
      <c r="E72" s="342">
        <v>0</v>
      </c>
      <c r="F72" s="342">
        <v>0</v>
      </c>
      <c r="G72" s="342">
        <v>477.61000490188599</v>
      </c>
      <c r="H72" s="342">
        <v>94.279998779296903</v>
      </c>
      <c r="I72" s="342">
        <v>383.330006122589</v>
      </c>
      <c r="J72" s="342">
        <v>247.44000244140599</v>
      </c>
      <c r="K72" s="343">
        <v>230.17000246047988</v>
      </c>
      <c r="L72" s="342">
        <v>0</v>
      </c>
      <c r="M72" s="342">
        <v>0</v>
      </c>
      <c r="N72" s="354">
        <v>0</v>
      </c>
      <c r="O72" s="343" t="s">
        <v>311</v>
      </c>
      <c r="P72" s="343" t="s">
        <v>311</v>
      </c>
      <c r="Q72" s="343" t="s">
        <v>311</v>
      </c>
      <c r="R72" s="344" t="s">
        <v>312</v>
      </c>
      <c r="S72" s="344">
        <v>-1.9302053030612314</v>
      </c>
      <c r="T72" s="343">
        <v>8378.17</v>
      </c>
      <c r="U72" s="342">
        <v>1509.43</v>
      </c>
      <c r="V72" s="342">
        <v>0</v>
      </c>
      <c r="W72" s="344">
        <f t="shared" si="18"/>
        <v>0</v>
      </c>
      <c r="X72" s="342">
        <v>348.42</v>
      </c>
      <c r="Y72" s="344">
        <f t="shared" si="19"/>
        <v>0.23082885592574681</v>
      </c>
      <c r="Z72" s="342">
        <v>0</v>
      </c>
      <c r="AA72" s="344">
        <f t="shared" si="11"/>
        <v>0</v>
      </c>
      <c r="AB72" s="342">
        <v>75.59</v>
      </c>
      <c r="AC72" s="344">
        <f t="shared" si="12"/>
        <v>5.0078506456079447E-2</v>
      </c>
      <c r="AD72" s="342">
        <v>6868.74</v>
      </c>
      <c r="AE72" s="342">
        <v>0</v>
      </c>
      <c r="AF72" s="344">
        <f t="shared" si="13"/>
        <v>0</v>
      </c>
      <c r="AG72" s="342">
        <v>15.55</v>
      </c>
      <c r="AH72" s="344">
        <f t="shared" si="14"/>
        <v>2.2638795470493862E-3</v>
      </c>
      <c r="AI72" s="342">
        <v>5</v>
      </c>
      <c r="AJ72" s="344">
        <f t="shared" si="15"/>
        <v>7.2793554567504375E-4</v>
      </c>
      <c r="AK72" s="342">
        <v>6239.05</v>
      </c>
      <c r="AL72" s="784">
        <f t="shared" si="16"/>
        <v>0.90832525324877644</v>
      </c>
      <c r="AM72" s="350" t="s">
        <v>313</v>
      </c>
      <c r="AN72" s="350" t="s">
        <v>313</v>
      </c>
      <c r="AO72" s="350" t="s">
        <v>313</v>
      </c>
      <c r="AP72" s="639" t="str">
        <f t="shared" si="17"/>
        <v>0.00%</v>
      </c>
    </row>
    <row r="73" spans="1:42" x14ac:dyDescent="0.2">
      <c r="A73" s="638">
        <v>42401</v>
      </c>
      <c r="B73" s="341" t="s">
        <v>135</v>
      </c>
      <c r="C73" s="351" t="s">
        <v>183</v>
      </c>
      <c r="D73" s="342">
        <v>200395.13000059899</v>
      </c>
      <c r="E73" s="342">
        <v>10346</v>
      </c>
      <c r="F73" s="342">
        <v>190049.13000059899</v>
      </c>
      <c r="G73" s="342">
        <v>122325.93071258999</v>
      </c>
      <c r="H73" s="342">
        <v>50059.410560974902</v>
      </c>
      <c r="I73" s="342">
        <v>72266.520151615099</v>
      </c>
      <c r="J73" s="342">
        <v>6922.2299915552103</v>
      </c>
      <c r="K73" s="343">
        <v>115403.70072103478</v>
      </c>
      <c r="L73" s="342">
        <v>62212.609234122603</v>
      </c>
      <c r="M73" s="342">
        <v>2481.8999996185298</v>
      </c>
      <c r="N73" s="354">
        <v>1046</v>
      </c>
      <c r="O73" s="343">
        <v>191.5823422567868</v>
      </c>
      <c r="P73" s="343">
        <v>129.73290704288516</v>
      </c>
      <c r="Q73" s="343">
        <v>116.94639647475142</v>
      </c>
      <c r="R73" s="344">
        <v>0.61042367003741238</v>
      </c>
      <c r="S73" s="344">
        <v>0.94989485406778251</v>
      </c>
      <c r="T73" s="343">
        <v>254099.95</v>
      </c>
      <c r="U73" s="342">
        <v>132888.45000000001</v>
      </c>
      <c r="V73" s="342">
        <v>3816.5</v>
      </c>
      <c r="W73" s="344">
        <f t="shared" si="18"/>
        <v>2.871957645679515E-2</v>
      </c>
      <c r="X73" s="342">
        <v>1524.04</v>
      </c>
      <c r="Y73" s="344">
        <f t="shared" si="19"/>
        <v>1.1468566305047579E-2</v>
      </c>
      <c r="Z73" s="342">
        <v>404.96</v>
      </c>
      <c r="AA73" s="344">
        <f t="shared" si="11"/>
        <v>3.0473679239994139E-3</v>
      </c>
      <c r="AB73" s="342">
        <v>10236.66</v>
      </c>
      <c r="AC73" s="344">
        <f t="shared" si="12"/>
        <v>7.7031976819655873E-2</v>
      </c>
      <c r="AD73" s="342">
        <v>121211.5</v>
      </c>
      <c r="AE73" s="342">
        <v>5950.3</v>
      </c>
      <c r="AF73" s="344">
        <f t="shared" si="13"/>
        <v>4.9090226587411259E-2</v>
      </c>
      <c r="AG73" s="342">
        <v>4142.45</v>
      </c>
      <c r="AH73" s="344">
        <f t="shared" si="14"/>
        <v>3.4175387648861702E-2</v>
      </c>
      <c r="AI73" s="342">
        <v>4423.58</v>
      </c>
      <c r="AJ73" s="344">
        <f t="shared" si="15"/>
        <v>3.6494722035450435E-2</v>
      </c>
      <c r="AK73" s="342">
        <v>85790.26</v>
      </c>
      <c r="AL73" s="784">
        <f t="shared" si="16"/>
        <v>0.70777327233802068</v>
      </c>
      <c r="AM73" s="350">
        <v>38.343964442261381</v>
      </c>
      <c r="AN73" s="350">
        <v>21.169267464016919</v>
      </c>
      <c r="AO73" s="350">
        <v>346.880186969379</v>
      </c>
      <c r="AP73" s="639">
        <f t="shared" si="17"/>
        <v>5.1011041456089083E-2</v>
      </c>
    </row>
    <row r="74" spans="1:42" x14ac:dyDescent="0.2">
      <c r="A74" s="638">
        <v>42401</v>
      </c>
      <c r="B74" s="341" t="s">
        <v>135</v>
      </c>
      <c r="C74" s="351" t="s">
        <v>184</v>
      </c>
      <c r="D74" s="342">
        <v>0</v>
      </c>
      <c r="E74" s="342">
        <v>0</v>
      </c>
      <c r="F74" s="342">
        <v>0</v>
      </c>
      <c r="G74" s="342">
        <v>336.88999938964798</v>
      </c>
      <c r="H74" s="342">
        <v>0</v>
      </c>
      <c r="I74" s="342">
        <v>336.88999938964798</v>
      </c>
      <c r="J74" s="342">
        <v>0</v>
      </c>
      <c r="K74" s="343">
        <v>336.88999938964798</v>
      </c>
      <c r="L74" s="342">
        <v>0</v>
      </c>
      <c r="M74" s="342">
        <v>0</v>
      </c>
      <c r="N74" s="354">
        <v>0</v>
      </c>
      <c r="O74" s="343" t="s">
        <v>311</v>
      </c>
      <c r="P74" s="343" t="s">
        <v>311</v>
      </c>
      <c r="Q74" s="343" t="s">
        <v>311</v>
      </c>
      <c r="R74" s="344" t="s">
        <v>312</v>
      </c>
      <c r="S74" s="344" t="s">
        <v>312</v>
      </c>
      <c r="T74" s="343">
        <v>14404.77</v>
      </c>
      <c r="U74" s="342">
        <v>2890.66</v>
      </c>
      <c r="V74" s="342">
        <v>0</v>
      </c>
      <c r="W74" s="344">
        <f t="shared" si="18"/>
        <v>0</v>
      </c>
      <c r="X74" s="342">
        <v>0</v>
      </c>
      <c r="Y74" s="344">
        <f t="shared" si="19"/>
        <v>0</v>
      </c>
      <c r="Z74" s="342">
        <v>0</v>
      </c>
      <c r="AA74" s="344">
        <f t="shared" si="11"/>
        <v>0</v>
      </c>
      <c r="AB74" s="342">
        <v>1737.11</v>
      </c>
      <c r="AC74" s="344">
        <f t="shared" si="12"/>
        <v>0.600938885929165</v>
      </c>
      <c r="AD74" s="342">
        <v>11514.11</v>
      </c>
      <c r="AE74" s="342">
        <v>0</v>
      </c>
      <c r="AF74" s="344">
        <f t="shared" si="13"/>
        <v>0</v>
      </c>
      <c r="AG74" s="342">
        <v>0</v>
      </c>
      <c r="AH74" s="344">
        <f t="shared" si="14"/>
        <v>0</v>
      </c>
      <c r="AI74" s="342">
        <v>555.24</v>
      </c>
      <c r="AJ74" s="344">
        <f t="shared" si="15"/>
        <v>4.822257213106354E-2</v>
      </c>
      <c r="AK74" s="342">
        <v>10919.72</v>
      </c>
      <c r="AL74" s="784">
        <f t="shared" si="16"/>
        <v>0.94837725191091615</v>
      </c>
      <c r="AM74" s="350" t="s">
        <v>313</v>
      </c>
      <c r="AN74" s="350" t="s">
        <v>313</v>
      </c>
      <c r="AO74" s="350" t="s">
        <v>313</v>
      </c>
      <c r="AP74" s="639" t="str">
        <f t="shared" si="17"/>
        <v>0.00%</v>
      </c>
    </row>
    <row r="75" spans="1:42" x14ac:dyDescent="0.2">
      <c r="A75" s="638">
        <v>42401</v>
      </c>
      <c r="B75" s="341" t="s">
        <v>135</v>
      </c>
      <c r="C75" s="351" t="s">
        <v>185</v>
      </c>
      <c r="D75" s="342">
        <v>132878.28000014299</v>
      </c>
      <c r="E75" s="342">
        <v>6149</v>
      </c>
      <c r="F75" s="342">
        <v>126729.280000143</v>
      </c>
      <c r="G75" s="342">
        <v>76499.790407070905</v>
      </c>
      <c r="H75" s="342">
        <v>36112.520365009099</v>
      </c>
      <c r="I75" s="342">
        <v>40387.270042061798</v>
      </c>
      <c r="J75" s="342">
        <v>3609.79001193866</v>
      </c>
      <c r="K75" s="343">
        <v>72890.000395132229</v>
      </c>
      <c r="L75" s="342">
        <v>45810.529490699999</v>
      </c>
      <c r="M75" s="342">
        <v>1619.6899995803799</v>
      </c>
      <c r="N75" s="354">
        <v>693</v>
      </c>
      <c r="O75" s="343">
        <v>191.74354978375612</v>
      </c>
      <c r="P75" s="343">
        <v>123.30167461740636</v>
      </c>
      <c r="Q75" s="343">
        <v>110.38930794671124</v>
      </c>
      <c r="R75" s="344">
        <v>0.57571327990540344</v>
      </c>
      <c r="S75" s="344">
        <v>0.93476792632135985</v>
      </c>
      <c r="T75" s="343">
        <v>178849.53</v>
      </c>
      <c r="U75" s="342">
        <v>95133.02</v>
      </c>
      <c r="V75" s="342">
        <v>3348.24</v>
      </c>
      <c r="W75" s="344">
        <f t="shared" si="18"/>
        <v>3.5195350678450026E-2</v>
      </c>
      <c r="X75" s="342">
        <v>2498.9699999999998</v>
      </c>
      <c r="Y75" s="344">
        <f t="shared" si="19"/>
        <v>2.6268166405313313E-2</v>
      </c>
      <c r="Z75" s="342">
        <v>1950.85</v>
      </c>
      <c r="AA75" s="344">
        <f t="shared" si="11"/>
        <v>2.0506549671186723E-2</v>
      </c>
      <c r="AB75" s="342">
        <v>6618.57</v>
      </c>
      <c r="AC75" s="344">
        <f t="shared" si="12"/>
        <v>6.9571742808122769E-2</v>
      </c>
      <c r="AD75" s="342">
        <v>83716.509999999995</v>
      </c>
      <c r="AE75" s="342">
        <v>4733.8100000000004</v>
      </c>
      <c r="AF75" s="344">
        <f t="shared" si="13"/>
        <v>5.6545716012289582E-2</v>
      </c>
      <c r="AG75" s="342">
        <v>1826.43</v>
      </c>
      <c r="AH75" s="344">
        <f t="shared" si="14"/>
        <v>2.1816843535402995E-2</v>
      </c>
      <c r="AI75" s="342">
        <v>1987.7</v>
      </c>
      <c r="AJ75" s="344">
        <f t="shared" si="15"/>
        <v>2.3743225798590985E-2</v>
      </c>
      <c r="AK75" s="342">
        <v>59170.68</v>
      </c>
      <c r="AL75" s="784">
        <f t="shared" si="16"/>
        <v>0.70679821698252832</v>
      </c>
      <c r="AM75" s="350">
        <v>41.076911522667189</v>
      </c>
      <c r="AN75" s="350">
        <v>22.753927975565098</v>
      </c>
      <c r="AO75" s="350">
        <v>483.7240562403698</v>
      </c>
      <c r="AP75" s="639">
        <f t="shared" si="17"/>
        <v>4.2245429450350251E-2</v>
      </c>
    </row>
    <row r="76" spans="1:42" x14ac:dyDescent="0.2">
      <c r="A76" s="638">
        <v>42401</v>
      </c>
      <c r="B76" s="341" t="s">
        <v>135</v>
      </c>
      <c r="C76" s="351" t="s">
        <v>179</v>
      </c>
      <c r="D76" s="342">
        <v>76448.1699999962</v>
      </c>
      <c r="E76" s="342">
        <v>6006</v>
      </c>
      <c r="F76" s="342">
        <v>70442.1699999962</v>
      </c>
      <c r="G76" s="342">
        <v>47396.270205058201</v>
      </c>
      <c r="H76" s="342">
        <v>20474.8201956749</v>
      </c>
      <c r="I76" s="342">
        <v>26921.450009383301</v>
      </c>
      <c r="J76" s="342">
        <v>4300.7100076675397</v>
      </c>
      <c r="K76" s="343">
        <v>43095.56019739066</v>
      </c>
      <c r="L76" s="342">
        <v>21916.849775671999</v>
      </c>
      <c r="M76" s="342">
        <v>1662.0800018310499</v>
      </c>
      <c r="N76" s="354">
        <v>412</v>
      </c>
      <c r="O76" s="343">
        <v>185.55381067960244</v>
      </c>
      <c r="P76" s="343">
        <v>128.32339859828434</v>
      </c>
      <c r="Q76" s="343">
        <v>115.03949078897621</v>
      </c>
      <c r="R76" s="344">
        <v>0.61997913364127033</v>
      </c>
      <c r="S76" s="344">
        <v>0.97586379483623797</v>
      </c>
      <c r="T76" s="343">
        <v>82441.52</v>
      </c>
      <c r="U76" s="342">
        <v>51337.54</v>
      </c>
      <c r="V76" s="342">
        <v>1618</v>
      </c>
      <c r="W76" s="344">
        <f t="shared" si="18"/>
        <v>3.1516897771104731E-2</v>
      </c>
      <c r="X76" s="342">
        <v>553</v>
      </c>
      <c r="Y76" s="344">
        <f t="shared" si="19"/>
        <v>1.0771844541051246E-2</v>
      </c>
      <c r="Z76" s="342">
        <v>-115.19</v>
      </c>
      <c r="AA76" s="344">
        <v>0</v>
      </c>
      <c r="AB76" s="342">
        <v>3249.88</v>
      </c>
      <c r="AC76" s="344">
        <f t="shared" si="12"/>
        <v>6.3304162996512883E-2</v>
      </c>
      <c r="AD76" s="342">
        <v>31103.98</v>
      </c>
      <c r="AE76" s="342">
        <v>1301.25</v>
      </c>
      <c r="AF76" s="344">
        <f t="shared" si="13"/>
        <v>4.1835482147300762E-2</v>
      </c>
      <c r="AG76" s="342">
        <v>1833.35</v>
      </c>
      <c r="AH76" s="344">
        <f t="shared" si="14"/>
        <v>5.8942617632855986E-2</v>
      </c>
      <c r="AI76" s="342">
        <v>1943.29</v>
      </c>
      <c r="AJ76" s="344">
        <f t="shared" si="15"/>
        <v>6.2477213527014873E-2</v>
      </c>
      <c r="AK76" s="342">
        <v>18081.150000000001</v>
      </c>
      <c r="AL76" s="784">
        <f t="shared" si="16"/>
        <v>0.5813130666879287</v>
      </c>
      <c r="AM76" s="350">
        <v>31.735141941423105</v>
      </c>
      <c r="AN76" s="350">
        <v>21.185125354161478</v>
      </c>
      <c r="AO76" s="350">
        <v>178.22928087097696</v>
      </c>
      <c r="AP76" s="639">
        <f t="shared" si="17"/>
        <v>8.134616630707335E-2</v>
      </c>
    </row>
    <row r="77" spans="1:42" x14ac:dyDescent="0.2">
      <c r="A77" s="638">
        <v>42401</v>
      </c>
      <c r="B77" s="341" t="s">
        <v>135</v>
      </c>
      <c r="C77" s="351" t="s">
        <v>186</v>
      </c>
      <c r="D77" s="342">
        <v>62466</v>
      </c>
      <c r="E77" s="342">
        <v>4686</v>
      </c>
      <c r="F77" s="342">
        <v>57780</v>
      </c>
      <c r="G77" s="342">
        <v>31262.620182990999</v>
      </c>
      <c r="H77" s="342">
        <v>12861.590164184599</v>
      </c>
      <c r="I77" s="342">
        <v>18401.030018806501</v>
      </c>
      <c r="J77" s="342">
        <v>1345.1100009977799</v>
      </c>
      <c r="K77" s="343">
        <v>29917.510181993319</v>
      </c>
      <c r="L77" s="342">
        <v>15503.209852218601</v>
      </c>
      <c r="M77" s="342">
        <v>676</v>
      </c>
      <c r="N77" s="354">
        <v>332</v>
      </c>
      <c r="O77" s="343">
        <v>188.15060240963857</v>
      </c>
      <c r="P77" s="343">
        <v>139.4180426137994</v>
      </c>
      <c r="Q77" s="343">
        <v>94.164518623467174</v>
      </c>
      <c r="R77" s="344">
        <v>0.50047418088225759</v>
      </c>
      <c r="S77" s="344">
        <v>0.6956264225299218</v>
      </c>
      <c r="T77" s="343">
        <v>42239.45</v>
      </c>
      <c r="U77" s="342">
        <v>38748.67</v>
      </c>
      <c r="V77" s="342">
        <v>364</v>
      </c>
      <c r="W77" s="344">
        <f t="shared" si="18"/>
        <v>9.3938708089851865E-3</v>
      </c>
      <c r="X77" s="342">
        <v>0</v>
      </c>
      <c r="Y77" s="344">
        <f t="shared" si="19"/>
        <v>0</v>
      </c>
      <c r="Z77" s="342">
        <v>0</v>
      </c>
      <c r="AA77" s="344">
        <f t="shared" si="11"/>
        <v>0</v>
      </c>
      <c r="AB77" s="342">
        <v>0</v>
      </c>
      <c r="AC77" s="344">
        <f t="shared" si="12"/>
        <v>0</v>
      </c>
      <c r="AD77" s="342">
        <v>3490.78</v>
      </c>
      <c r="AE77" s="342">
        <v>385.4</v>
      </c>
      <c r="AF77" s="344">
        <f t="shared" si="13"/>
        <v>0.11040512435616108</v>
      </c>
      <c r="AG77" s="342">
        <v>0</v>
      </c>
      <c r="AH77" s="344">
        <f t="shared" si="14"/>
        <v>0</v>
      </c>
      <c r="AI77" s="342">
        <v>0</v>
      </c>
      <c r="AJ77" s="344">
        <f t="shared" si="15"/>
        <v>0</v>
      </c>
      <c r="AK77" s="342">
        <v>0</v>
      </c>
      <c r="AL77" s="784">
        <f t="shared" si="16"/>
        <v>0</v>
      </c>
      <c r="AM77" s="350">
        <v>22.253136588131436</v>
      </c>
      <c r="AN77" s="350">
        <v>22.105448414666807</v>
      </c>
      <c r="AO77" s="350">
        <v>24.035666743171909</v>
      </c>
      <c r="AP77" s="639">
        <f t="shared" si="17"/>
        <v>2.9060343063392422E-2</v>
      </c>
    </row>
    <row r="78" spans="1:42" x14ac:dyDescent="0.2">
      <c r="A78" s="638">
        <v>42401</v>
      </c>
      <c r="B78" s="341" t="s">
        <v>135</v>
      </c>
      <c r="C78" s="351" t="s">
        <v>187</v>
      </c>
      <c r="D78" s="342">
        <v>87482.740000607402</v>
      </c>
      <c r="E78" s="342">
        <v>3060</v>
      </c>
      <c r="F78" s="342">
        <v>84422.740000607402</v>
      </c>
      <c r="G78" s="342">
        <v>52513.870236471303</v>
      </c>
      <c r="H78" s="342">
        <v>23151.640207603599</v>
      </c>
      <c r="I78" s="342">
        <v>29362.2300288677</v>
      </c>
      <c r="J78" s="342">
        <v>3422.9699883460999</v>
      </c>
      <c r="K78" s="343">
        <v>49090.900248125196</v>
      </c>
      <c r="L78" s="342">
        <v>29236.2296941727</v>
      </c>
      <c r="M78" s="342">
        <v>860</v>
      </c>
      <c r="N78" s="354">
        <v>432</v>
      </c>
      <c r="O78" s="343">
        <v>202.50634259399862</v>
      </c>
      <c r="P78" s="343">
        <v>132.83914422785813</v>
      </c>
      <c r="Q78" s="343">
        <v>121.55988480664652</v>
      </c>
      <c r="R78" s="344">
        <v>0.6002769258954016</v>
      </c>
      <c r="S78" s="344">
        <v>0.97313611981215065</v>
      </c>
      <c r="T78" s="343">
        <v>74688.12</v>
      </c>
      <c r="U78" s="342">
        <v>57030.35</v>
      </c>
      <c r="V78" s="342">
        <v>1654.1</v>
      </c>
      <c r="W78" s="344">
        <f t="shared" si="18"/>
        <v>2.9003854964944103E-2</v>
      </c>
      <c r="X78" s="342">
        <v>898.3</v>
      </c>
      <c r="Y78" s="344">
        <f t="shared" si="19"/>
        <v>1.5751262266494946E-2</v>
      </c>
      <c r="Z78" s="342">
        <v>44.57</v>
      </c>
      <c r="AA78" s="344">
        <f t="shared" si="11"/>
        <v>7.8151370279158378E-4</v>
      </c>
      <c r="AB78" s="342">
        <v>2208.25</v>
      </c>
      <c r="AC78" s="344">
        <f t="shared" si="12"/>
        <v>3.872061104306742E-2</v>
      </c>
      <c r="AD78" s="342">
        <v>17657.77</v>
      </c>
      <c r="AE78" s="342">
        <v>1037.8499999999999</v>
      </c>
      <c r="AF78" s="344">
        <f t="shared" si="13"/>
        <v>5.8775825033398885E-2</v>
      </c>
      <c r="AG78" s="342">
        <v>1152.8499999999999</v>
      </c>
      <c r="AH78" s="344">
        <f t="shared" si="14"/>
        <v>6.5288538699960402E-2</v>
      </c>
      <c r="AI78" s="342">
        <v>868.17</v>
      </c>
      <c r="AJ78" s="344">
        <f t="shared" si="15"/>
        <v>4.9166457599119251E-2</v>
      </c>
      <c r="AK78" s="342">
        <v>5030.32</v>
      </c>
      <c r="AL78" s="784">
        <f t="shared" si="16"/>
        <v>0.28487855487980646</v>
      </c>
      <c r="AM78" s="350">
        <v>24.902405331412844</v>
      </c>
      <c r="AN78" s="350">
        <v>19.889105750699457</v>
      </c>
      <c r="AO78" s="350">
        <v>133.95703628777341</v>
      </c>
      <c r="AP78" s="639">
        <f t="shared" si="17"/>
        <v>5.9647641406804355E-2</v>
      </c>
    </row>
    <row r="79" spans="1:42" x14ac:dyDescent="0.2">
      <c r="A79" s="638">
        <v>42401</v>
      </c>
      <c r="B79" s="341" t="s">
        <v>135</v>
      </c>
      <c r="C79" s="351" t="s">
        <v>188</v>
      </c>
      <c r="D79" s="342">
        <v>94513.490000149206</v>
      </c>
      <c r="E79" s="342">
        <v>4685</v>
      </c>
      <c r="F79" s="342">
        <v>89828.490000149206</v>
      </c>
      <c r="G79" s="342">
        <v>59222.730325222001</v>
      </c>
      <c r="H79" s="342">
        <v>27259.3502531052</v>
      </c>
      <c r="I79" s="342">
        <v>31963.380072116899</v>
      </c>
      <c r="J79" s="342">
        <v>3225.6399953365299</v>
      </c>
      <c r="K79" s="343">
        <v>55997.09032988557</v>
      </c>
      <c r="L79" s="342">
        <v>30569.249622345</v>
      </c>
      <c r="M79" s="342">
        <v>1370</v>
      </c>
      <c r="N79" s="354">
        <v>569</v>
      </c>
      <c r="O79" s="343">
        <v>166.10455184560493</v>
      </c>
      <c r="P79" s="343">
        <v>109.97230294868929</v>
      </c>
      <c r="Q79" s="343">
        <v>104.08212710935344</v>
      </c>
      <c r="R79" s="344">
        <v>0.62660611014500267</v>
      </c>
      <c r="S79" s="344">
        <v>0.99787914025883662</v>
      </c>
      <c r="T79" s="343">
        <v>95714.81</v>
      </c>
      <c r="U79" s="342">
        <v>64602.59</v>
      </c>
      <c r="V79" s="342">
        <v>2029.5</v>
      </c>
      <c r="W79" s="344">
        <f t="shared" si="18"/>
        <v>3.1415149144949146E-2</v>
      </c>
      <c r="X79" s="342">
        <v>284.83999999999997</v>
      </c>
      <c r="Y79" s="344">
        <f t="shared" si="19"/>
        <v>4.4091111517355576E-3</v>
      </c>
      <c r="Z79" s="342">
        <v>1300.7</v>
      </c>
      <c r="AA79" s="344">
        <f t="shared" si="11"/>
        <v>2.0133867697874036E-2</v>
      </c>
      <c r="AB79" s="342">
        <v>4018.78</v>
      </c>
      <c r="AC79" s="344">
        <f t="shared" si="12"/>
        <v>6.2207722631553941E-2</v>
      </c>
      <c r="AD79" s="342">
        <v>31112.22</v>
      </c>
      <c r="AE79" s="342">
        <v>1818.35</v>
      </c>
      <c r="AF79" s="344">
        <f t="shared" si="13"/>
        <v>5.8444881143164963E-2</v>
      </c>
      <c r="AG79" s="342">
        <v>1504.14</v>
      </c>
      <c r="AH79" s="344">
        <f t="shared" si="14"/>
        <v>4.8345633966332201E-2</v>
      </c>
      <c r="AI79" s="342">
        <v>2614.4</v>
      </c>
      <c r="AJ79" s="344">
        <f t="shared" si="15"/>
        <v>8.4031290598999359E-2</v>
      </c>
      <c r="AK79" s="342">
        <v>15860.32</v>
      </c>
      <c r="AL79" s="784">
        <f t="shared" si="16"/>
        <v>0.50977783006162847</v>
      </c>
      <c r="AM79" s="350">
        <v>29.537713726300819</v>
      </c>
      <c r="AN79" s="350">
        <v>21.011519933321619</v>
      </c>
      <c r="AO79" s="350">
        <v>187.6490952955368</v>
      </c>
      <c r="AP79" s="639">
        <f t="shared" si="17"/>
        <v>5.1549007640541829E-2</v>
      </c>
    </row>
    <row r="80" spans="1:42" x14ac:dyDescent="0.2">
      <c r="A80" s="638">
        <v>42401</v>
      </c>
      <c r="B80" s="341" t="s">
        <v>136</v>
      </c>
      <c r="C80" s="351" t="s">
        <v>189</v>
      </c>
      <c r="D80" s="342">
        <v>102169.680000145</v>
      </c>
      <c r="E80" s="342">
        <v>4503</v>
      </c>
      <c r="F80" s="342">
        <v>97666.680000145003</v>
      </c>
      <c r="G80" s="342">
        <v>59828.089906573303</v>
      </c>
      <c r="H80" s="342">
        <v>24450.849902033799</v>
      </c>
      <c r="I80" s="342">
        <v>35377.240004539497</v>
      </c>
      <c r="J80" s="342">
        <v>2372.7200013399101</v>
      </c>
      <c r="K80" s="343">
        <v>57455.369905233383</v>
      </c>
      <c r="L80" s="342">
        <v>26969.490167617801</v>
      </c>
      <c r="M80" s="342">
        <v>903</v>
      </c>
      <c r="N80" s="354">
        <v>505</v>
      </c>
      <c r="O80" s="343">
        <v>202.3161980200891</v>
      </c>
      <c r="P80" s="343">
        <v>147.12314818322218</v>
      </c>
      <c r="Q80" s="343">
        <v>118.47146516153128</v>
      </c>
      <c r="R80" s="344">
        <v>0.5855757785136293</v>
      </c>
      <c r="S80" s="344">
        <v>0.83181829559529319</v>
      </c>
      <c r="T80" s="343">
        <v>95086.790000000008</v>
      </c>
      <c r="U80" s="342">
        <v>69817.740000000005</v>
      </c>
      <c r="V80" s="342">
        <v>2417.75</v>
      </c>
      <c r="W80" s="344">
        <f t="shared" si="18"/>
        <v>3.4629450910327375E-2</v>
      </c>
      <c r="X80" s="342">
        <v>709.44</v>
      </c>
      <c r="Y80" s="344">
        <f t="shared" si="19"/>
        <v>1.0161314302067067E-2</v>
      </c>
      <c r="Z80" s="342">
        <v>660.54</v>
      </c>
      <c r="AA80" s="344">
        <f t="shared" si="11"/>
        <v>9.4609192448795957E-3</v>
      </c>
      <c r="AB80" s="342">
        <v>2217.35</v>
      </c>
      <c r="AC80" s="344">
        <f t="shared" si="12"/>
        <v>3.1759120246516143E-2</v>
      </c>
      <c r="AD80" s="342">
        <v>25269.05</v>
      </c>
      <c r="AE80" s="342">
        <v>2706.3</v>
      </c>
      <c r="AF80" s="344">
        <f t="shared" si="13"/>
        <v>0.10709939629705115</v>
      </c>
      <c r="AG80" s="342">
        <v>2630.7</v>
      </c>
      <c r="AH80" s="344">
        <f t="shared" si="14"/>
        <v>0.10410759407259078</v>
      </c>
      <c r="AI80" s="342">
        <v>1405.35</v>
      </c>
      <c r="AJ80" s="344">
        <f t="shared" si="15"/>
        <v>5.5615466351129149E-2</v>
      </c>
      <c r="AK80" s="342">
        <v>9580.8700000000008</v>
      </c>
      <c r="AL80" s="784">
        <f t="shared" si="16"/>
        <v>0.37915434098234801</v>
      </c>
      <c r="AM80" s="350">
        <v>28.838518205925993</v>
      </c>
      <c r="AN80" s="350">
        <v>22.467869536450021</v>
      </c>
      <c r="AO80" s="350">
        <v>133.15852801686282</v>
      </c>
      <c r="AP80" s="639">
        <f t="shared" si="17"/>
        <v>3.1935528203532897E-2</v>
      </c>
    </row>
    <row r="81" spans="1:42" x14ac:dyDescent="0.2">
      <c r="A81" s="638">
        <v>42401</v>
      </c>
      <c r="B81" s="341" t="s">
        <v>136</v>
      </c>
      <c r="C81" s="351" t="s">
        <v>190</v>
      </c>
      <c r="D81" s="342">
        <v>166824.10999999801</v>
      </c>
      <c r="E81" s="342">
        <v>9225</v>
      </c>
      <c r="F81" s="342">
        <v>157599.10999999801</v>
      </c>
      <c r="G81" s="342">
        <v>110531.789805301</v>
      </c>
      <c r="H81" s="342">
        <v>47549.769814282699</v>
      </c>
      <c r="I81" s="342">
        <v>62982.0199910179</v>
      </c>
      <c r="J81" s="342">
        <v>5081.1500014662697</v>
      </c>
      <c r="K81" s="343">
        <v>105450.63980383432</v>
      </c>
      <c r="L81" s="342">
        <v>49771.170272558898</v>
      </c>
      <c r="M81" s="342">
        <v>1301</v>
      </c>
      <c r="N81" s="354">
        <v>841</v>
      </c>
      <c r="O81" s="343">
        <v>198.36398335314865</v>
      </c>
      <c r="P81" s="343">
        <v>137.63607577578966</v>
      </c>
      <c r="Q81" s="343">
        <v>131.42900095755124</v>
      </c>
      <c r="R81" s="344">
        <v>0.66256484032974561</v>
      </c>
      <c r="S81" s="344">
        <v>0.99874402341379853</v>
      </c>
      <c r="T81" s="343">
        <v>184741.48</v>
      </c>
      <c r="U81" s="342">
        <v>112096.82</v>
      </c>
      <c r="V81" s="342">
        <v>2997.31</v>
      </c>
      <c r="W81" s="344">
        <f t="shared" si="18"/>
        <v>2.6738581879485964E-2</v>
      </c>
      <c r="X81" s="342">
        <v>416.57</v>
      </c>
      <c r="Y81" s="344">
        <f t="shared" si="19"/>
        <v>3.7161625102299957E-3</v>
      </c>
      <c r="Z81" s="342">
        <v>498.24</v>
      </c>
      <c r="AA81" s="344">
        <f t="shared" si="11"/>
        <v>4.4447291189883883E-3</v>
      </c>
      <c r="AB81" s="342">
        <v>5306.47</v>
      </c>
      <c r="AC81" s="344">
        <f t="shared" si="12"/>
        <v>4.7338274181194434E-2</v>
      </c>
      <c r="AD81" s="342">
        <v>72644.66</v>
      </c>
      <c r="AE81" s="342">
        <v>4474.47</v>
      </c>
      <c r="AF81" s="344">
        <f t="shared" si="13"/>
        <v>6.1593928583326019E-2</v>
      </c>
      <c r="AG81" s="342">
        <v>5950.99</v>
      </c>
      <c r="AH81" s="344">
        <f t="shared" si="14"/>
        <v>8.1919166529239723E-2</v>
      </c>
      <c r="AI81" s="342">
        <v>4065.25</v>
      </c>
      <c r="AJ81" s="344">
        <f t="shared" si="15"/>
        <v>5.5960754720305664E-2</v>
      </c>
      <c r="AK81" s="342">
        <v>42093.59</v>
      </c>
      <c r="AL81" s="784">
        <f t="shared" si="16"/>
        <v>0.57944506863959433</v>
      </c>
      <c r="AM81" s="350">
        <v>31.832566018718413</v>
      </c>
      <c r="AN81" s="350">
        <v>20.372582886975341</v>
      </c>
      <c r="AO81" s="350">
        <v>241.18413014608237</v>
      </c>
      <c r="AP81" s="639">
        <f t="shared" si="17"/>
        <v>4.38968885828682E-2</v>
      </c>
    </row>
    <row r="82" spans="1:42" x14ac:dyDescent="0.2">
      <c r="A82" s="638">
        <v>42401</v>
      </c>
      <c r="B82" s="341" t="s">
        <v>136</v>
      </c>
      <c r="C82" s="351" t="s">
        <v>191</v>
      </c>
      <c r="D82" s="342">
        <v>143723.41999999099</v>
      </c>
      <c r="E82" s="342">
        <v>5210</v>
      </c>
      <c r="F82" s="342">
        <v>138513.41999999099</v>
      </c>
      <c r="G82" s="342">
        <v>87740.049710124702</v>
      </c>
      <c r="H82" s="342">
        <v>41766.379772603497</v>
      </c>
      <c r="I82" s="342">
        <v>45973.669937521197</v>
      </c>
      <c r="J82" s="342">
        <v>3389.8700013160701</v>
      </c>
      <c r="K82" s="343">
        <v>84350.179708808631</v>
      </c>
      <c r="L82" s="342">
        <v>44712.300247192397</v>
      </c>
      <c r="M82" s="342">
        <v>754.31999969482399</v>
      </c>
      <c r="N82" s="354">
        <v>665</v>
      </c>
      <c r="O82" s="343">
        <v>216.12544360900901</v>
      </c>
      <c r="P82" s="343">
        <v>147.75458609489289</v>
      </c>
      <c r="Q82" s="343">
        <v>131.93992437612738</v>
      </c>
      <c r="R82" s="344">
        <v>0.61047844331932954</v>
      </c>
      <c r="S82" s="344">
        <v>0.92487497950750641</v>
      </c>
      <c r="T82" s="343">
        <v>116760.78</v>
      </c>
      <c r="U82" s="342">
        <v>90303.679999999993</v>
      </c>
      <c r="V82" s="342">
        <v>2698.59</v>
      </c>
      <c r="W82" s="344">
        <f t="shared" si="18"/>
        <v>2.9883499764350691E-2</v>
      </c>
      <c r="X82" s="342">
        <v>2656.41</v>
      </c>
      <c r="Y82" s="344">
        <f t="shared" si="19"/>
        <v>2.9416409165163592E-2</v>
      </c>
      <c r="Z82" s="342">
        <v>571.34</v>
      </c>
      <c r="AA82" s="344">
        <f t="shared" si="11"/>
        <v>6.3268739435646485E-3</v>
      </c>
      <c r="AB82" s="342">
        <v>931</v>
      </c>
      <c r="AC82" s="344">
        <f t="shared" si="12"/>
        <v>1.0309657369444968E-2</v>
      </c>
      <c r="AD82" s="342">
        <v>26457.1</v>
      </c>
      <c r="AE82" s="342">
        <v>2399.7800000000002</v>
      </c>
      <c r="AF82" s="344">
        <f t="shared" si="13"/>
        <v>9.0704574575444785E-2</v>
      </c>
      <c r="AG82" s="342">
        <v>2995.79</v>
      </c>
      <c r="AH82" s="344">
        <f t="shared" si="14"/>
        <v>0.1132319868768686</v>
      </c>
      <c r="AI82" s="342">
        <v>3200.64</v>
      </c>
      <c r="AJ82" s="344">
        <f t="shared" si="15"/>
        <v>0.12097471000223002</v>
      </c>
      <c r="AK82" s="342">
        <v>4036.4</v>
      </c>
      <c r="AL82" s="784">
        <f t="shared" si="16"/>
        <v>0.15256396203665559</v>
      </c>
      <c r="AM82" s="350">
        <v>25.011874813077959</v>
      </c>
      <c r="AN82" s="350">
        <v>20.231522377196573</v>
      </c>
      <c r="AO82" s="350">
        <v>129.24816805080604</v>
      </c>
      <c r="AP82" s="639">
        <f t="shared" si="17"/>
        <v>3.4500105945176482E-2</v>
      </c>
    </row>
    <row r="83" spans="1:42" x14ac:dyDescent="0.2">
      <c r="A83" s="638">
        <v>42401</v>
      </c>
      <c r="B83" s="341" t="s">
        <v>136</v>
      </c>
      <c r="C83" s="351" t="s">
        <v>192</v>
      </c>
      <c r="D83" s="342">
        <v>194446.23999999501</v>
      </c>
      <c r="E83" s="342">
        <v>10218</v>
      </c>
      <c r="F83" s="342">
        <v>184228.23999999501</v>
      </c>
      <c r="G83" s="342">
        <v>112132.71977106501</v>
      </c>
      <c r="H83" s="342">
        <v>51165.839790213897</v>
      </c>
      <c r="I83" s="342">
        <v>60966.879980851001</v>
      </c>
      <c r="J83" s="342">
        <v>4603.8300000429199</v>
      </c>
      <c r="K83" s="343">
        <v>107528.88977102199</v>
      </c>
      <c r="L83" s="342">
        <v>48363.970201533302</v>
      </c>
      <c r="M83" s="342">
        <v>561</v>
      </c>
      <c r="N83" s="354">
        <v>1152</v>
      </c>
      <c r="O83" s="343">
        <v>168.79013888888457</v>
      </c>
      <c r="P83" s="343">
        <v>126.32054670005355</v>
      </c>
      <c r="Q83" s="343">
        <v>97.33743035682717</v>
      </c>
      <c r="R83" s="344">
        <v>0.57667723362029411</v>
      </c>
      <c r="S83" s="344">
        <v>0.79573344457201201</v>
      </c>
      <c r="T83" s="343">
        <v>195458.97000000003</v>
      </c>
      <c r="U83" s="342">
        <v>147353.67000000001</v>
      </c>
      <c r="V83" s="342">
        <v>2824.73</v>
      </c>
      <c r="W83" s="344">
        <f t="shared" si="18"/>
        <v>1.9169729535748921E-2</v>
      </c>
      <c r="X83" s="342">
        <v>12200.59</v>
      </c>
      <c r="Y83" s="344">
        <f t="shared" si="19"/>
        <v>8.2798005641800426E-2</v>
      </c>
      <c r="Z83" s="342">
        <v>9500.51</v>
      </c>
      <c r="AA83" s="344">
        <f t="shared" si="11"/>
        <v>6.4474200065732998E-2</v>
      </c>
      <c r="AB83" s="342">
        <v>4149.18</v>
      </c>
      <c r="AC83" s="344">
        <f t="shared" si="12"/>
        <v>2.8157968512083884E-2</v>
      </c>
      <c r="AD83" s="342">
        <v>48105.3</v>
      </c>
      <c r="AE83" s="342">
        <v>5417.81</v>
      </c>
      <c r="AF83" s="344">
        <f t="shared" si="13"/>
        <v>0.11262397282627902</v>
      </c>
      <c r="AG83" s="342">
        <v>5657.67</v>
      </c>
      <c r="AH83" s="344">
        <f t="shared" si="14"/>
        <v>0.11761011780406733</v>
      </c>
      <c r="AI83" s="342">
        <v>4694.95</v>
      </c>
      <c r="AJ83" s="344">
        <f t="shared" si="15"/>
        <v>9.7597354137693756E-2</v>
      </c>
      <c r="AK83" s="342">
        <v>12862.66</v>
      </c>
      <c r="AL83" s="784">
        <f t="shared" si="16"/>
        <v>0.267385506378715</v>
      </c>
      <c r="AM83" s="350">
        <v>31.372534762809604</v>
      </c>
      <c r="AN83" s="350">
        <v>25.017639953882924</v>
      </c>
      <c r="AO83" s="350">
        <v>141.37529388714734</v>
      </c>
      <c r="AP83" s="639">
        <f t="shared" si="17"/>
        <v>3.1636818496835209E-2</v>
      </c>
    </row>
    <row r="84" spans="1:42" x14ac:dyDescent="0.2">
      <c r="A84" s="638">
        <v>42401</v>
      </c>
      <c r="B84" s="341" t="s">
        <v>136</v>
      </c>
      <c r="C84" s="351" t="s">
        <v>193</v>
      </c>
      <c r="D84" s="342">
        <v>0</v>
      </c>
      <c r="E84" s="342">
        <v>0</v>
      </c>
      <c r="F84" s="342">
        <v>0</v>
      </c>
      <c r="G84" s="342">
        <v>0</v>
      </c>
      <c r="H84" s="342">
        <v>0</v>
      </c>
      <c r="I84" s="342">
        <v>0</v>
      </c>
      <c r="J84" s="342">
        <v>0</v>
      </c>
      <c r="K84" s="343">
        <v>0</v>
      </c>
      <c r="L84" s="342">
        <v>0</v>
      </c>
      <c r="M84" s="342">
        <v>0</v>
      </c>
      <c r="N84" s="354">
        <v>0</v>
      </c>
      <c r="O84" s="343" t="s">
        <v>311</v>
      </c>
      <c r="P84" s="343" t="s">
        <v>311</v>
      </c>
      <c r="Q84" s="343" t="s">
        <v>311</v>
      </c>
      <c r="R84" s="344" t="s">
        <v>312</v>
      </c>
      <c r="S84" s="344" t="s">
        <v>312</v>
      </c>
      <c r="T84" s="343">
        <v>0</v>
      </c>
      <c r="U84" s="342">
        <v>0</v>
      </c>
      <c r="V84" s="342">
        <v>0</v>
      </c>
      <c r="W84" s="344" t="str">
        <f t="shared" si="18"/>
        <v>0.00%</v>
      </c>
      <c r="X84" s="342">
        <v>0</v>
      </c>
      <c r="Y84" s="344" t="str">
        <f t="shared" si="19"/>
        <v>0.00%</v>
      </c>
      <c r="Z84" s="342">
        <v>0</v>
      </c>
      <c r="AA84" s="344">
        <f t="shared" si="11"/>
        <v>0</v>
      </c>
      <c r="AB84" s="342">
        <v>0</v>
      </c>
      <c r="AC84" s="344" t="str">
        <f t="shared" si="12"/>
        <v>0.00%</v>
      </c>
      <c r="AD84" s="342">
        <v>0</v>
      </c>
      <c r="AE84" s="342">
        <v>0</v>
      </c>
      <c r="AF84" s="344" t="str">
        <f t="shared" si="13"/>
        <v>0.00%</v>
      </c>
      <c r="AG84" s="342">
        <v>0</v>
      </c>
      <c r="AH84" s="344" t="str">
        <f t="shared" si="14"/>
        <v>0.00%</v>
      </c>
      <c r="AI84" s="342">
        <v>0</v>
      </c>
      <c r="AJ84" s="344">
        <f t="shared" si="15"/>
        <v>0</v>
      </c>
      <c r="AK84" s="342">
        <v>0</v>
      </c>
      <c r="AL84" s="784" t="str">
        <f t="shared" si="16"/>
        <v>0.00%</v>
      </c>
      <c r="AM84" s="350" t="s">
        <v>313</v>
      </c>
      <c r="AN84" s="350" t="s">
        <v>313</v>
      </c>
      <c r="AO84" s="350" t="s">
        <v>313</v>
      </c>
      <c r="AP84" s="639" t="str">
        <f t="shared" si="17"/>
        <v>0.00%</v>
      </c>
    </row>
    <row r="85" spans="1:42" x14ac:dyDescent="0.2">
      <c r="A85" s="638">
        <v>42401</v>
      </c>
      <c r="B85" s="341" t="s">
        <v>136</v>
      </c>
      <c r="C85" s="351" t="s">
        <v>194</v>
      </c>
      <c r="D85" s="342">
        <v>95313.699999995501</v>
      </c>
      <c r="E85" s="342">
        <v>4167</v>
      </c>
      <c r="F85" s="342">
        <v>90709.689999995797</v>
      </c>
      <c r="G85" s="342">
        <v>63702.249869942701</v>
      </c>
      <c r="H85" s="342">
        <v>28928.189896702799</v>
      </c>
      <c r="I85" s="342">
        <v>34774.059973239899</v>
      </c>
      <c r="J85" s="342">
        <v>2570.97000318766</v>
      </c>
      <c r="K85" s="343">
        <v>61131.279866755038</v>
      </c>
      <c r="L85" s="342">
        <v>31300.7500927728</v>
      </c>
      <c r="M85" s="342">
        <v>796.43999862670898</v>
      </c>
      <c r="N85" s="354">
        <v>439</v>
      </c>
      <c r="O85" s="343">
        <v>216.12002277903372</v>
      </c>
      <c r="P85" s="343">
        <v>143.00569455261115</v>
      </c>
      <c r="Q85" s="343">
        <v>145.10763068324076</v>
      </c>
      <c r="R85" s="344">
        <v>0.67142150374286369</v>
      </c>
      <c r="S85" s="344">
        <v>1.0580269933516548</v>
      </c>
      <c r="T85" s="343">
        <v>71839.45</v>
      </c>
      <c r="U85" s="342">
        <v>58056.36</v>
      </c>
      <c r="V85" s="342">
        <v>2400.09</v>
      </c>
      <c r="W85" s="344">
        <f t="shared" si="18"/>
        <v>4.1340690322300609E-2</v>
      </c>
      <c r="X85" s="342">
        <v>633</v>
      </c>
      <c r="Y85" s="344">
        <f t="shared" si="19"/>
        <v>1.0903198202574188E-2</v>
      </c>
      <c r="Z85" s="342">
        <v>-146.19999999999999</v>
      </c>
      <c r="AA85" s="344">
        <v>0</v>
      </c>
      <c r="AB85" s="342">
        <v>0</v>
      </c>
      <c r="AC85" s="344">
        <f t="shared" si="12"/>
        <v>0</v>
      </c>
      <c r="AD85" s="342">
        <v>13783.09</v>
      </c>
      <c r="AE85" s="342">
        <v>2254.12</v>
      </c>
      <c r="AF85" s="344">
        <f t="shared" si="13"/>
        <v>0.16354242771395963</v>
      </c>
      <c r="AG85" s="342">
        <v>1841.92</v>
      </c>
      <c r="AH85" s="344">
        <f t="shared" si="14"/>
        <v>0.13363621655231156</v>
      </c>
      <c r="AI85" s="342">
        <v>1343.15</v>
      </c>
      <c r="AJ85" s="344">
        <f t="shared" si="15"/>
        <v>9.7449120625345997E-2</v>
      </c>
      <c r="AK85" s="342">
        <v>490.96</v>
      </c>
      <c r="AL85" s="784">
        <f t="shared" si="16"/>
        <v>3.562045956313134E-2</v>
      </c>
      <c r="AM85" s="350">
        <v>21.46086667832579</v>
      </c>
      <c r="AN85" s="350">
        <v>18.325798903888511</v>
      </c>
      <c r="AO85" s="350">
        <v>80.056669893514041</v>
      </c>
      <c r="AP85" s="639">
        <f t="shared" si="17"/>
        <v>4.0669280966396201E-2</v>
      </c>
    </row>
    <row r="86" spans="1:42" x14ac:dyDescent="0.2">
      <c r="A86" s="638">
        <v>42401</v>
      </c>
      <c r="B86" s="341" t="s">
        <v>136</v>
      </c>
      <c r="C86" s="351" t="s">
        <v>195</v>
      </c>
      <c r="D86" s="342">
        <v>53124.759999994203</v>
      </c>
      <c r="E86" s="342">
        <v>2044</v>
      </c>
      <c r="F86" s="342">
        <v>51080.759999994203</v>
      </c>
      <c r="G86" s="342">
        <v>30281.2599183321</v>
      </c>
      <c r="H86" s="342">
        <v>14944.109905838999</v>
      </c>
      <c r="I86" s="342">
        <v>15337.150012493101</v>
      </c>
      <c r="J86" s="342">
        <v>1340.4699966907499</v>
      </c>
      <c r="K86" s="343">
        <v>28940.78992164135</v>
      </c>
      <c r="L86" s="342">
        <v>13226.6901111603</v>
      </c>
      <c r="M86" s="342">
        <v>204</v>
      </c>
      <c r="N86" s="354">
        <v>336</v>
      </c>
      <c r="O86" s="343">
        <v>158.1094047618875</v>
      </c>
      <c r="P86" s="343">
        <v>118.13711276438661</v>
      </c>
      <c r="Q86" s="343">
        <v>90.122797375988398</v>
      </c>
      <c r="R86" s="344">
        <v>0.57000276176937847</v>
      </c>
      <c r="S86" s="344">
        <v>0.78952849285303472</v>
      </c>
      <c r="T86" s="343">
        <v>36346.400000000001</v>
      </c>
      <c r="U86" s="342">
        <v>33150.36</v>
      </c>
      <c r="V86" s="342">
        <v>1256.52</v>
      </c>
      <c r="W86" s="344">
        <f t="shared" si="18"/>
        <v>3.7903660774724617E-2</v>
      </c>
      <c r="X86" s="342">
        <v>0</v>
      </c>
      <c r="Y86" s="344">
        <f t="shared" si="19"/>
        <v>0</v>
      </c>
      <c r="Z86" s="342">
        <v>0</v>
      </c>
      <c r="AA86" s="344">
        <f t="shared" si="11"/>
        <v>0</v>
      </c>
      <c r="AB86" s="342">
        <v>0</v>
      </c>
      <c r="AC86" s="344">
        <f t="shared" si="12"/>
        <v>0</v>
      </c>
      <c r="AD86" s="342">
        <v>3196.04</v>
      </c>
      <c r="AE86" s="342">
        <v>1357.77</v>
      </c>
      <c r="AF86" s="344">
        <f t="shared" si="13"/>
        <v>0.42482885070274462</v>
      </c>
      <c r="AG86" s="342">
        <v>269.61</v>
      </c>
      <c r="AH86" s="344">
        <f t="shared" si="14"/>
        <v>8.4357517427816928E-2</v>
      </c>
      <c r="AI86" s="342">
        <v>0</v>
      </c>
      <c r="AJ86" s="344">
        <f t="shared" si="15"/>
        <v>0</v>
      </c>
      <c r="AK86" s="342">
        <v>0</v>
      </c>
      <c r="AL86" s="784">
        <f t="shared" si="16"/>
        <v>0</v>
      </c>
      <c r="AM86" s="350">
        <v>23.246986546754258</v>
      </c>
      <c r="AN86" s="350">
        <v>22.010895330201411</v>
      </c>
      <c r="AO86" s="350">
        <v>55.680139372822296</v>
      </c>
      <c r="AP86" s="639">
        <f t="shared" si="17"/>
        <v>3.3770031655731766E-2</v>
      </c>
    </row>
    <row r="87" spans="1:42" x14ac:dyDescent="0.2">
      <c r="A87" s="638">
        <v>42401</v>
      </c>
      <c r="B87" s="341" t="s">
        <v>136</v>
      </c>
      <c r="C87" s="351" t="s">
        <v>196</v>
      </c>
      <c r="D87" s="342">
        <v>0</v>
      </c>
      <c r="E87" s="342">
        <v>0</v>
      </c>
      <c r="F87" s="342">
        <v>0</v>
      </c>
      <c r="G87" s="342">
        <v>0</v>
      </c>
      <c r="H87" s="342">
        <v>0</v>
      </c>
      <c r="I87" s="342">
        <v>0</v>
      </c>
      <c r="J87" s="342">
        <v>0</v>
      </c>
      <c r="K87" s="343">
        <v>0</v>
      </c>
      <c r="L87" s="342">
        <v>0</v>
      </c>
      <c r="M87" s="342">
        <v>0</v>
      </c>
      <c r="N87" s="354">
        <v>0</v>
      </c>
      <c r="O87" s="343" t="s">
        <v>311</v>
      </c>
      <c r="P87" s="343" t="s">
        <v>311</v>
      </c>
      <c r="Q87" s="343" t="s">
        <v>311</v>
      </c>
      <c r="R87" s="344" t="s">
        <v>312</v>
      </c>
      <c r="S87" s="344" t="s">
        <v>312</v>
      </c>
      <c r="T87" s="343">
        <v>0</v>
      </c>
      <c r="U87" s="342">
        <v>0</v>
      </c>
      <c r="V87" s="342">
        <v>0</v>
      </c>
      <c r="W87" s="344" t="str">
        <f t="shared" si="18"/>
        <v>0.00%</v>
      </c>
      <c r="X87" s="342">
        <v>0</v>
      </c>
      <c r="Y87" s="344" t="str">
        <f t="shared" si="19"/>
        <v>0.00%</v>
      </c>
      <c r="Z87" s="342">
        <v>0</v>
      </c>
      <c r="AA87" s="344">
        <f t="shared" si="11"/>
        <v>0</v>
      </c>
      <c r="AB87" s="342">
        <v>0</v>
      </c>
      <c r="AC87" s="344" t="str">
        <f t="shared" si="12"/>
        <v>0.00%</v>
      </c>
      <c r="AD87" s="342">
        <v>0</v>
      </c>
      <c r="AE87" s="342">
        <v>0</v>
      </c>
      <c r="AF87" s="344" t="str">
        <f t="shared" si="13"/>
        <v>0.00%</v>
      </c>
      <c r="AG87" s="342">
        <v>0</v>
      </c>
      <c r="AH87" s="344" t="str">
        <f t="shared" si="14"/>
        <v>0.00%</v>
      </c>
      <c r="AI87" s="342">
        <v>0</v>
      </c>
      <c r="AJ87" s="344">
        <f t="shared" si="15"/>
        <v>0</v>
      </c>
      <c r="AK87" s="342">
        <v>0</v>
      </c>
      <c r="AL87" s="784" t="str">
        <f t="shared" si="16"/>
        <v>0.00%</v>
      </c>
      <c r="AM87" s="350" t="s">
        <v>313</v>
      </c>
      <c r="AN87" s="350" t="s">
        <v>313</v>
      </c>
      <c r="AO87" s="350" t="s">
        <v>313</v>
      </c>
      <c r="AP87" s="639" t="str">
        <f t="shared" si="17"/>
        <v>0.00%</v>
      </c>
    </row>
    <row r="88" spans="1:42" x14ac:dyDescent="0.2">
      <c r="A88" s="638">
        <v>42401</v>
      </c>
      <c r="B88" s="341" t="s">
        <v>136</v>
      </c>
      <c r="C88" s="351" t="s">
        <v>290</v>
      </c>
      <c r="D88" s="342">
        <v>0</v>
      </c>
      <c r="E88" s="342">
        <v>0</v>
      </c>
      <c r="F88" s="342">
        <v>0</v>
      </c>
      <c r="G88" s="342">
        <v>0</v>
      </c>
      <c r="H88" s="342">
        <v>0</v>
      </c>
      <c r="I88" s="342">
        <v>0</v>
      </c>
      <c r="J88" s="342">
        <v>0</v>
      </c>
      <c r="K88" s="343">
        <v>0</v>
      </c>
      <c r="L88" s="342">
        <v>0</v>
      </c>
      <c r="M88" s="342">
        <v>0</v>
      </c>
      <c r="N88" s="354">
        <v>0</v>
      </c>
      <c r="O88" s="343" t="s">
        <v>311</v>
      </c>
      <c r="P88" s="343" t="s">
        <v>311</v>
      </c>
      <c r="Q88" s="343" t="s">
        <v>311</v>
      </c>
      <c r="R88" s="344" t="s">
        <v>312</v>
      </c>
      <c r="S88" s="344" t="s">
        <v>312</v>
      </c>
      <c r="T88" s="343">
        <v>0</v>
      </c>
      <c r="U88" s="342">
        <v>0</v>
      </c>
      <c r="V88" s="342">
        <v>0</v>
      </c>
      <c r="W88" s="344" t="str">
        <f t="shared" si="18"/>
        <v>0.00%</v>
      </c>
      <c r="X88" s="342">
        <v>0</v>
      </c>
      <c r="Y88" s="344" t="str">
        <f t="shared" si="19"/>
        <v>0.00%</v>
      </c>
      <c r="Z88" s="342">
        <v>0</v>
      </c>
      <c r="AA88" s="344">
        <f t="shared" si="11"/>
        <v>0</v>
      </c>
      <c r="AB88" s="342">
        <v>0</v>
      </c>
      <c r="AC88" s="344" t="str">
        <f t="shared" si="12"/>
        <v>0.00%</v>
      </c>
      <c r="AD88" s="342">
        <v>0</v>
      </c>
      <c r="AE88" s="342">
        <v>0</v>
      </c>
      <c r="AF88" s="344" t="str">
        <f t="shared" si="13"/>
        <v>0.00%</v>
      </c>
      <c r="AG88" s="342">
        <v>0</v>
      </c>
      <c r="AH88" s="344" t="str">
        <f t="shared" si="14"/>
        <v>0.00%</v>
      </c>
      <c r="AI88" s="342">
        <v>0</v>
      </c>
      <c r="AJ88" s="344">
        <f t="shared" si="15"/>
        <v>0</v>
      </c>
      <c r="AK88" s="342">
        <v>0</v>
      </c>
      <c r="AL88" s="784" t="str">
        <f t="shared" si="16"/>
        <v>0.00%</v>
      </c>
      <c r="AM88" s="350" t="s">
        <v>313</v>
      </c>
      <c r="AN88" s="350" t="s">
        <v>313</v>
      </c>
      <c r="AO88" s="350" t="s">
        <v>313</v>
      </c>
      <c r="AP88" s="639" t="str">
        <f t="shared" si="17"/>
        <v>0.00%</v>
      </c>
    </row>
    <row r="89" spans="1:42" x14ac:dyDescent="0.2">
      <c r="A89" s="638">
        <v>42401</v>
      </c>
      <c r="B89" s="341" t="s">
        <v>137</v>
      </c>
      <c r="C89" s="351" t="s">
        <v>209</v>
      </c>
      <c r="D89" s="342">
        <v>47037.670001216196</v>
      </c>
      <c r="E89" s="342">
        <v>4848</v>
      </c>
      <c r="F89" s="342">
        <v>42189.670001216196</v>
      </c>
      <c r="G89" s="342">
        <v>18478.089960098299</v>
      </c>
      <c r="H89" s="342">
        <v>5207.0899600982702</v>
      </c>
      <c r="I89" s="342">
        <v>13271</v>
      </c>
      <c r="J89" s="342">
        <v>0</v>
      </c>
      <c r="K89" s="343">
        <v>18478.08996009827</v>
      </c>
      <c r="L89" s="342">
        <v>5379.5300025939896</v>
      </c>
      <c r="M89" s="342">
        <v>264</v>
      </c>
      <c r="N89" s="354">
        <v>216</v>
      </c>
      <c r="O89" s="343">
        <v>217.76699074637128</v>
      </c>
      <c r="P89" s="343">
        <v>191.63953703065837</v>
      </c>
      <c r="Q89" s="343">
        <v>85.546712778232731</v>
      </c>
      <c r="R89" s="344">
        <v>0.39283599633273725</v>
      </c>
      <c r="S89" s="344">
        <v>0.4463938605974978</v>
      </c>
      <c r="T89" s="343">
        <v>24159.55</v>
      </c>
      <c r="U89" s="342">
        <v>23667.71</v>
      </c>
      <c r="V89" s="342">
        <v>0</v>
      </c>
      <c r="W89" s="344">
        <f t="shared" si="18"/>
        <v>0</v>
      </c>
      <c r="X89" s="342">
        <v>0</v>
      </c>
      <c r="Y89" s="344">
        <f t="shared" si="19"/>
        <v>0</v>
      </c>
      <c r="Z89" s="342">
        <v>0</v>
      </c>
      <c r="AA89" s="344">
        <f t="shared" si="11"/>
        <v>0</v>
      </c>
      <c r="AB89" s="342">
        <v>0</v>
      </c>
      <c r="AC89" s="344">
        <f t="shared" si="12"/>
        <v>0</v>
      </c>
      <c r="AD89" s="342">
        <v>491.84</v>
      </c>
      <c r="AE89" s="342">
        <v>0</v>
      </c>
      <c r="AF89" s="344">
        <f t="shared" si="13"/>
        <v>0</v>
      </c>
      <c r="AG89" s="342">
        <v>0</v>
      </c>
      <c r="AH89" s="344">
        <f t="shared" si="14"/>
        <v>0</v>
      </c>
      <c r="AI89" s="342">
        <v>0</v>
      </c>
      <c r="AJ89" s="344">
        <f t="shared" si="15"/>
        <v>0</v>
      </c>
      <c r="AK89" s="342">
        <v>0</v>
      </c>
      <c r="AL89" s="784">
        <f t="shared" si="16"/>
        <v>0</v>
      </c>
      <c r="AM89" s="350">
        <v>28.420397582524014</v>
      </c>
      <c r="AN89" s="350">
        <v>31.084006953803009</v>
      </c>
      <c r="AO89" s="350">
        <v>5.5470676691729324</v>
      </c>
      <c r="AP89" s="639">
        <f t="shared" si="17"/>
        <v>0</v>
      </c>
    </row>
    <row r="90" spans="1:42" x14ac:dyDescent="0.2">
      <c r="A90" s="638">
        <v>42401</v>
      </c>
      <c r="B90" s="341" t="s">
        <v>137</v>
      </c>
      <c r="C90" s="351" t="s">
        <v>197</v>
      </c>
      <c r="D90" s="342">
        <v>141317.02999997701</v>
      </c>
      <c r="E90" s="342">
        <v>7949</v>
      </c>
      <c r="F90" s="342">
        <v>133368.02999997701</v>
      </c>
      <c r="G90" s="342">
        <v>82466.459865927696</v>
      </c>
      <c r="H90" s="342">
        <v>39529.609890580199</v>
      </c>
      <c r="I90" s="342">
        <v>42936.849975347497</v>
      </c>
      <c r="J90" s="342">
        <v>3479.2400069236801</v>
      </c>
      <c r="K90" s="343">
        <v>78987.219859004021</v>
      </c>
      <c r="L90" s="342">
        <v>37926.160211563103</v>
      </c>
      <c r="M90" s="342">
        <v>1151.9400005340599</v>
      </c>
      <c r="N90" s="354">
        <v>662</v>
      </c>
      <c r="O90" s="343">
        <v>213.46983383682328</v>
      </c>
      <c r="P90" s="343">
        <v>154.43947097867044</v>
      </c>
      <c r="Q90" s="343">
        <v>124.57169164037417</v>
      </c>
      <c r="R90" s="344">
        <v>0.58355641826000104</v>
      </c>
      <c r="S90" s="344">
        <v>0.8350214550980668</v>
      </c>
      <c r="T90" s="343">
        <v>112324.23</v>
      </c>
      <c r="U90" s="342">
        <v>100142.42</v>
      </c>
      <c r="V90" s="342">
        <v>7315.85</v>
      </c>
      <c r="W90" s="344">
        <f t="shared" si="18"/>
        <v>7.3054455843986996E-2</v>
      </c>
      <c r="X90" s="342">
        <v>4412.3900000000003</v>
      </c>
      <c r="Y90" s="344">
        <f t="shared" si="19"/>
        <v>4.4061148112857669E-2</v>
      </c>
      <c r="Z90" s="342">
        <v>0</v>
      </c>
      <c r="AA90" s="344">
        <f t="shared" si="11"/>
        <v>0</v>
      </c>
      <c r="AB90" s="342">
        <v>0</v>
      </c>
      <c r="AC90" s="344">
        <f t="shared" si="12"/>
        <v>0</v>
      </c>
      <c r="AD90" s="342">
        <v>12181.81</v>
      </c>
      <c r="AE90" s="342">
        <v>3365.96</v>
      </c>
      <c r="AF90" s="344">
        <f t="shared" si="13"/>
        <v>0.27631033483529954</v>
      </c>
      <c r="AG90" s="342">
        <v>2347.8000000000002</v>
      </c>
      <c r="AH90" s="344">
        <f t="shared" si="14"/>
        <v>0.19272998019177776</v>
      </c>
      <c r="AI90" s="342">
        <v>0</v>
      </c>
      <c r="AJ90" s="344">
        <f t="shared" si="15"/>
        <v>0</v>
      </c>
      <c r="AK90" s="342">
        <v>0</v>
      </c>
      <c r="AL90" s="784">
        <f t="shared" si="16"/>
        <v>0</v>
      </c>
      <c r="AM90" s="350">
        <v>24.283647486738339</v>
      </c>
      <c r="AN90" s="350">
        <v>23.099435353692343</v>
      </c>
      <c r="AO90" s="350">
        <v>41.972470426093949</v>
      </c>
      <c r="AP90" s="639">
        <f t="shared" si="17"/>
        <v>3.4030481482369104E-2</v>
      </c>
    </row>
    <row r="91" spans="1:42" x14ac:dyDescent="0.2">
      <c r="A91" s="638">
        <v>42401</v>
      </c>
      <c r="B91" s="341" t="s">
        <v>137</v>
      </c>
      <c r="C91" s="351" t="s">
        <v>198</v>
      </c>
      <c r="D91" s="342">
        <v>0</v>
      </c>
      <c r="E91" s="342">
        <v>0</v>
      </c>
      <c r="F91" s="342">
        <v>0</v>
      </c>
      <c r="G91" s="342">
        <v>0</v>
      </c>
      <c r="H91" s="342">
        <v>0</v>
      </c>
      <c r="I91" s="342">
        <v>0</v>
      </c>
      <c r="J91" s="342">
        <v>0</v>
      </c>
      <c r="K91" s="343">
        <v>0</v>
      </c>
      <c r="L91" s="342">
        <v>0</v>
      </c>
      <c r="M91" s="342">
        <v>0</v>
      </c>
      <c r="N91" s="354">
        <v>0</v>
      </c>
      <c r="O91" s="343" t="s">
        <v>311</v>
      </c>
      <c r="P91" s="343" t="s">
        <v>311</v>
      </c>
      <c r="Q91" s="343" t="s">
        <v>311</v>
      </c>
      <c r="R91" s="344" t="s">
        <v>312</v>
      </c>
      <c r="S91" s="344" t="s">
        <v>312</v>
      </c>
      <c r="T91" s="343">
        <v>63.93</v>
      </c>
      <c r="U91" s="342">
        <v>0</v>
      </c>
      <c r="V91" s="342">
        <v>0</v>
      </c>
      <c r="W91" s="344" t="str">
        <f t="shared" si="18"/>
        <v>0.00%</v>
      </c>
      <c r="X91" s="342">
        <v>0</v>
      </c>
      <c r="Y91" s="344" t="str">
        <f t="shared" si="19"/>
        <v>0.00%</v>
      </c>
      <c r="Z91" s="342">
        <v>0</v>
      </c>
      <c r="AA91" s="344">
        <f t="shared" si="11"/>
        <v>0</v>
      </c>
      <c r="AB91" s="342">
        <v>0</v>
      </c>
      <c r="AC91" s="344" t="str">
        <f t="shared" si="12"/>
        <v>0.00%</v>
      </c>
      <c r="AD91" s="342">
        <v>63.93</v>
      </c>
      <c r="AE91" s="342">
        <v>0</v>
      </c>
      <c r="AF91" s="344">
        <f t="shared" si="13"/>
        <v>0</v>
      </c>
      <c r="AG91" s="342">
        <v>0</v>
      </c>
      <c r="AH91" s="344">
        <f t="shared" si="14"/>
        <v>0</v>
      </c>
      <c r="AI91" s="342">
        <v>0</v>
      </c>
      <c r="AJ91" s="344">
        <f t="shared" si="15"/>
        <v>0</v>
      </c>
      <c r="AK91" s="342">
        <v>63.93</v>
      </c>
      <c r="AL91" s="784">
        <f t="shared" si="16"/>
        <v>1</v>
      </c>
      <c r="AM91" s="350" t="s">
        <v>313</v>
      </c>
      <c r="AN91" s="350" t="s">
        <v>313</v>
      </c>
      <c r="AO91" s="350" t="s">
        <v>313</v>
      </c>
      <c r="AP91" s="639" t="str">
        <f t="shared" si="17"/>
        <v>0.00%</v>
      </c>
    </row>
    <row r="92" spans="1:42" x14ac:dyDescent="0.2">
      <c r="A92" s="638">
        <v>42401</v>
      </c>
      <c r="B92" s="341" t="s">
        <v>137</v>
      </c>
      <c r="C92" s="351" t="s">
        <v>199</v>
      </c>
      <c r="D92" s="342">
        <v>240514.180000586</v>
      </c>
      <c r="E92" s="342">
        <v>9758</v>
      </c>
      <c r="F92" s="342">
        <v>230756.180000586</v>
      </c>
      <c r="G92" s="342">
        <v>142000.05986577299</v>
      </c>
      <c r="H92" s="342">
        <v>70759.349864780903</v>
      </c>
      <c r="I92" s="342">
        <v>71240.710000991807</v>
      </c>
      <c r="J92" s="342">
        <v>8474.9400035142899</v>
      </c>
      <c r="K92" s="343">
        <v>133525.11986225843</v>
      </c>
      <c r="L92" s="342">
        <v>68082.350262820706</v>
      </c>
      <c r="M92" s="342">
        <v>2606.6399993896498</v>
      </c>
      <c r="N92" s="354">
        <v>1180</v>
      </c>
      <c r="O92" s="343">
        <v>203.82557627168305</v>
      </c>
      <c r="P92" s="343">
        <v>143.91965232065735</v>
      </c>
      <c r="Q92" s="343">
        <v>120.33903378455315</v>
      </c>
      <c r="R92" s="344">
        <v>0.59040202895906901</v>
      </c>
      <c r="S92" s="344">
        <v>0.88007338134966739</v>
      </c>
      <c r="T92" s="343">
        <v>306555.14</v>
      </c>
      <c r="U92" s="342">
        <v>182715.9</v>
      </c>
      <c r="V92" s="342">
        <v>5618.63</v>
      </c>
      <c r="W92" s="344">
        <f t="shared" si="18"/>
        <v>3.0750635275857221E-2</v>
      </c>
      <c r="X92" s="342">
        <v>1812.66</v>
      </c>
      <c r="Y92" s="344">
        <f t="shared" si="19"/>
        <v>9.9206472999886722E-3</v>
      </c>
      <c r="Z92" s="342">
        <v>1552.26</v>
      </c>
      <c r="AA92" s="344">
        <f t="shared" si="11"/>
        <v>8.4954839726591944E-3</v>
      </c>
      <c r="AB92" s="342">
        <v>11222.25</v>
      </c>
      <c r="AC92" s="344">
        <f t="shared" si="12"/>
        <v>6.1419121160227436E-2</v>
      </c>
      <c r="AD92" s="342">
        <v>123839.24</v>
      </c>
      <c r="AE92" s="342">
        <v>6040.4</v>
      </c>
      <c r="AF92" s="344">
        <f t="shared" si="13"/>
        <v>4.8776139130052798E-2</v>
      </c>
      <c r="AG92" s="342">
        <v>5028.87</v>
      </c>
      <c r="AH92" s="344">
        <f t="shared" si="14"/>
        <v>4.0608049597203599E-2</v>
      </c>
      <c r="AI92" s="342">
        <v>5254.59</v>
      </c>
      <c r="AJ92" s="344">
        <f t="shared" si="15"/>
        <v>4.2430735201540316E-2</v>
      </c>
      <c r="AK92" s="342">
        <v>88498.57</v>
      </c>
      <c r="AL92" s="784">
        <f t="shared" si="16"/>
        <v>0.71462462140433036</v>
      </c>
      <c r="AM92" s="350">
        <v>38.406937112380326</v>
      </c>
      <c r="AN92" s="350">
        <v>23.970658374149764</v>
      </c>
      <c r="AO92" s="350">
        <v>344.68406550076543</v>
      </c>
      <c r="AP92" s="639">
        <f t="shared" si="17"/>
        <v>4.9903904223927945E-2</v>
      </c>
    </row>
    <row r="93" spans="1:42" x14ac:dyDescent="0.2">
      <c r="A93" s="638">
        <v>42401</v>
      </c>
      <c r="B93" s="341" t="s">
        <v>137</v>
      </c>
      <c r="C93" s="351" t="s">
        <v>200</v>
      </c>
      <c r="D93" s="342">
        <v>0</v>
      </c>
      <c r="E93" s="342">
        <v>0</v>
      </c>
      <c r="F93" s="342">
        <v>0</v>
      </c>
      <c r="G93" s="342">
        <v>442.23999786376999</v>
      </c>
      <c r="H93" s="342">
        <v>88.790000915527301</v>
      </c>
      <c r="I93" s="342">
        <v>353.44999694824202</v>
      </c>
      <c r="J93" s="342">
        <v>74.930000305175795</v>
      </c>
      <c r="K93" s="343">
        <v>367.30999755859352</v>
      </c>
      <c r="L93" s="342">
        <v>94.330001831054702</v>
      </c>
      <c r="M93" s="342">
        <v>0</v>
      </c>
      <c r="N93" s="354">
        <v>0</v>
      </c>
      <c r="O93" s="343" t="s">
        <v>311</v>
      </c>
      <c r="P93" s="343" t="s">
        <v>311</v>
      </c>
      <c r="Q93" s="343" t="s">
        <v>311</v>
      </c>
      <c r="R93" s="344" t="s">
        <v>312</v>
      </c>
      <c r="S93" s="344">
        <v>-2.6127850188010058</v>
      </c>
      <c r="T93" s="343">
        <v>6269.7699999999995</v>
      </c>
      <c r="U93" s="342">
        <v>822.12</v>
      </c>
      <c r="V93" s="342">
        <v>0</v>
      </c>
      <c r="W93" s="344">
        <f t="shared" si="18"/>
        <v>0</v>
      </c>
      <c r="X93" s="342">
        <v>0</v>
      </c>
      <c r="Y93" s="344">
        <f t="shared" si="19"/>
        <v>0</v>
      </c>
      <c r="Z93" s="342">
        <v>354.04</v>
      </c>
      <c r="AA93" s="344">
        <f t="shared" si="11"/>
        <v>0.43064272855544206</v>
      </c>
      <c r="AB93" s="342">
        <v>463.08</v>
      </c>
      <c r="AC93" s="344">
        <f t="shared" si="12"/>
        <v>0.56327543424317617</v>
      </c>
      <c r="AD93" s="342">
        <v>5447.65</v>
      </c>
      <c r="AE93" s="342">
        <v>0</v>
      </c>
      <c r="AF93" s="344">
        <f t="shared" si="13"/>
        <v>0</v>
      </c>
      <c r="AG93" s="342">
        <v>0</v>
      </c>
      <c r="AH93" s="344">
        <f t="shared" si="14"/>
        <v>0</v>
      </c>
      <c r="AI93" s="342">
        <v>53.47</v>
      </c>
      <c r="AJ93" s="344">
        <f t="shared" si="15"/>
        <v>9.8152414343799631E-3</v>
      </c>
      <c r="AK93" s="342">
        <v>5458.26</v>
      </c>
      <c r="AL93" s="784">
        <f t="shared" si="16"/>
        <v>1.0019476287940672</v>
      </c>
      <c r="AM93" s="350" t="s">
        <v>313</v>
      </c>
      <c r="AN93" s="350" t="s">
        <v>313</v>
      </c>
      <c r="AO93" s="350" t="s">
        <v>313</v>
      </c>
      <c r="AP93" s="639">
        <f t="shared" si="17"/>
        <v>-0.79433901039645516</v>
      </c>
    </row>
    <row r="94" spans="1:42" x14ac:dyDescent="0.2">
      <c r="A94" s="638">
        <v>42401</v>
      </c>
      <c r="B94" s="341" t="s">
        <v>137</v>
      </c>
      <c r="C94" s="351" t="s">
        <v>201</v>
      </c>
      <c r="D94" s="342">
        <v>264328.24999842601</v>
      </c>
      <c r="E94" s="342">
        <v>7779</v>
      </c>
      <c r="F94" s="342">
        <v>256549.24999842601</v>
      </c>
      <c r="G94" s="342">
        <v>145022.69983216599</v>
      </c>
      <c r="H94" s="342">
        <v>84381.119826042996</v>
      </c>
      <c r="I94" s="342">
        <v>60641.580006122596</v>
      </c>
      <c r="J94" s="342">
        <v>6041.9999927282297</v>
      </c>
      <c r="K94" s="343">
        <v>138980.69983943735</v>
      </c>
      <c r="L94" s="342">
        <v>72481.210230087905</v>
      </c>
      <c r="M94" s="342">
        <v>4545.5100326538104</v>
      </c>
      <c r="N94" s="354">
        <v>1270</v>
      </c>
      <c r="O94" s="343">
        <v>208.13248031372126</v>
      </c>
      <c r="P94" s="343">
        <v>147.48151947691676</v>
      </c>
      <c r="Q94" s="343">
        <v>114.19110223005164</v>
      </c>
      <c r="R94" s="344">
        <v>0.54864623752107144</v>
      </c>
      <c r="S94" s="344">
        <v>0.80008317376648896</v>
      </c>
      <c r="T94" s="343">
        <v>434781.29000000004</v>
      </c>
      <c r="U94" s="342">
        <v>241996.81</v>
      </c>
      <c r="V94" s="342">
        <v>7036.26</v>
      </c>
      <c r="W94" s="344">
        <f t="shared" si="18"/>
        <v>2.9075837817862146E-2</v>
      </c>
      <c r="X94" s="342">
        <v>5979.06</v>
      </c>
      <c r="Y94" s="344">
        <f t="shared" si="19"/>
        <v>2.470718518975519E-2</v>
      </c>
      <c r="Z94" s="342">
        <v>3593.11</v>
      </c>
      <c r="AA94" s="344">
        <f t="shared" si="11"/>
        <v>1.4847757703913536E-2</v>
      </c>
      <c r="AB94" s="342">
        <v>17394.599999999999</v>
      </c>
      <c r="AC94" s="344">
        <f t="shared" si="12"/>
        <v>7.1879459898665607E-2</v>
      </c>
      <c r="AD94" s="342">
        <v>192784.48</v>
      </c>
      <c r="AE94" s="342">
        <v>6165.87</v>
      </c>
      <c r="AF94" s="344">
        <f t="shared" si="13"/>
        <v>3.1983228110478601E-2</v>
      </c>
      <c r="AG94" s="342">
        <v>6142.57</v>
      </c>
      <c r="AH94" s="344">
        <f t="shared" si="14"/>
        <v>3.1862367759064418E-2</v>
      </c>
      <c r="AI94" s="342">
        <v>7127.41</v>
      </c>
      <c r="AJ94" s="344">
        <f t="shared" si="15"/>
        <v>3.6970870269224985E-2</v>
      </c>
      <c r="AK94" s="342">
        <v>154339.37</v>
      </c>
      <c r="AL94" s="784">
        <f t="shared" si="16"/>
        <v>0.8005798495812525</v>
      </c>
      <c r="AM94" s="350">
        <v>50.339944131717949</v>
      </c>
      <c r="AN94" s="350">
        <v>28.974293496408524</v>
      </c>
      <c r="AO94" s="350">
        <v>676.95141335518235</v>
      </c>
      <c r="AP94" s="639">
        <f t="shared" si="17"/>
        <v>3.2258145468723957E-2</v>
      </c>
    </row>
    <row r="95" spans="1:42" x14ac:dyDescent="0.2">
      <c r="A95" s="638">
        <v>42401</v>
      </c>
      <c r="B95" s="341" t="s">
        <v>137</v>
      </c>
      <c r="C95" s="351" t="s">
        <v>202</v>
      </c>
      <c r="D95" s="342">
        <v>0</v>
      </c>
      <c r="E95" s="342">
        <v>0</v>
      </c>
      <c r="F95" s="342">
        <v>0</v>
      </c>
      <c r="G95" s="342">
        <v>0</v>
      </c>
      <c r="H95" s="342">
        <v>0</v>
      </c>
      <c r="I95" s="342">
        <v>0</v>
      </c>
      <c r="J95" s="342">
        <v>0</v>
      </c>
      <c r="K95" s="343">
        <v>0</v>
      </c>
      <c r="L95" s="342">
        <v>0</v>
      </c>
      <c r="M95" s="342">
        <v>0</v>
      </c>
      <c r="N95" s="354">
        <v>0</v>
      </c>
      <c r="O95" s="343" t="s">
        <v>311</v>
      </c>
      <c r="P95" s="343" t="s">
        <v>311</v>
      </c>
      <c r="Q95" s="343" t="s">
        <v>311</v>
      </c>
      <c r="R95" s="344" t="s">
        <v>312</v>
      </c>
      <c r="S95" s="344" t="s">
        <v>312</v>
      </c>
      <c r="T95" s="343">
        <v>357.61</v>
      </c>
      <c r="U95" s="342">
        <v>0</v>
      </c>
      <c r="V95" s="342">
        <v>0</v>
      </c>
      <c r="W95" s="344" t="str">
        <f t="shared" si="18"/>
        <v>0.00%</v>
      </c>
      <c r="X95" s="342">
        <v>0</v>
      </c>
      <c r="Y95" s="344" t="str">
        <f t="shared" si="19"/>
        <v>0.00%</v>
      </c>
      <c r="Z95" s="342">
        <v>0</v>
      </c>
      <c r="AA95" s="344">
        <f t="shared" si="11"/>
        <v>0</v>
      </c>
      <c r="AB95" s="342">
        <v>0</v>
      </c>
      <c r="AC95" s="344" t="str">
        <f t="shared" si="12"/>
        <v>0.00%</v>
      </c>
      <c r="AD95" s="342">
        <v>357.61</v>
      </c>
      <c r="AE95" s="342">
        <v>0</v>
      </c>
      <c r="AF95" s="344">
        <f t="shared" si="13"/>
        <v>0</v>
      </c>
      <c r="AG95" s="342">
        <v>0</v>
      </c>
      <c r="AH95" s="344">
        <f t="shared" si="14"/>
        <v>0</v>
      </c>
      <c r="AI95" s="342">
        <v>0</v>
      </c>
      <c r="AJ95" s="344">
        <f t="shared" si="15"/>
        <v>0</v>
      </c>
      <c r="AK95" s="342">
        <v>357.61</v>
      </c>
      <c r="AL95" s="784">
        <f t="shared" si="16"/>
        <v>1</v>
      </c>
      <c r="AM95" s="350" t="s">
        <v>313</v>
      </c>
      <c r="AN95" s="350" t="s">
        <v>313</v>
      </c>
      <c r="AO95" s="350" t="s">
        <v>313</v>
      </c>
      <c r="AP95" s="639" t="str">
        <f t="shared" si="17"/>
        <v>0.00%</v>
      </c>
    </row>
    <row r="96" spans="1:42" x14ac:dyDescent="0.2">
      <c r="A96" s="638">
        <v>42401</v>
      </c>
      <c r="B96" s="341" t="s">
        <v>137</v>
      </c>
      <c r="C96" s="351" t="s">
        <v>203</v>
      </c>
      <c r="D96" s="342">
        <v>171460.910000592</v>
      </c>
      <c r="E96" s="342">
        <v>9963</v>
      </c>
      <c r="F96" s="342">
        <v>161497.910000592</v>
      </c>
      <c r="G96" s="342">
        <v>110398.839904875</v>
      </c>
      <c r="H96" s="342">
        <v>52309.729899883299</v>
      </c>
      <c r="I96" s="342">
        <v>58089.1100049913</v>
      </c>
      <c r="J96" s="342">
        <v>5698.6599952578499</v>
      </c>
      <c r="K96" s="343">
        <v>104700.17990961674</v>
      </c>
      <c r="L96" s="342">
        <v>39308.980111479803</v>
      </c>
      <c r="M96" s="342">
        <v>513.80000019073498</v>
      </c>
      <c r="N96" s="354">
        <v>872</v>
      </c>
      <c r="O96" s="343">
        <v>196.62948394563304</v>
      </c>
      <c r="P96" s="343">
        <v>150.96115812949708</v>
      </c>
      <c r="Q96" s="343">
        <v>126.60417420283784</v>
      </c>
      <c r="R96" s="344">
        <v>0.64387177173207244</v>
      </c>
      <c r="S96" s="344">
        <v>0.87660238682987424</v>
      </c>
      <c r="T96" s="343">
        <v>252935.05</v>
      </c>
      <c r="U96" s="342">
        <v>139573.35</v>
      </c>
      <c r="V96" s="342">
        <v>5243.63</v>
      </c>
      <c r="W96" s="344">
        <f t="shared" si="18"/>
        <v>3.7568991501601132E-2</v>
      </c>
      <c r="X96" s="342">
        <v>3476.84</v>
      </c>
      <c r="Y96" s="344">
        <f t="shared" si="19"/>
        <v>2.491048613506805E-2</v>
      </c>
      <c r="Z96" s="342">
        <v>1630.14</v>
      </c>
      <c r="AA96" s="344">
        <f t="shared" si="11"/>
        <v>1.1679450267547494E-2</v>
      </c>
      <c r="AB96" s="342">
        <v>11005.75</v>
      </c>
      <c r="AC96" s="344">
        <f t="shared" si="12"/>
        <v>7.8852803919946035E-2</v>
      </c>
      <c r="AD96" s="342">
        <v>113361.7</v>
      </c>
      <c r="AE96" s="342">
        <v>4331.7700000000004</v>
      </c>
      <c r="AF96" s="344">
        <f t="shared" si="13"/>
        <v>3.8211935777251051E-2</v>
      </c>
      <c r="AG96" s="342">
        <v>3662.53</v>
      </c>
      <c r="AH96" s="344">
        <f t="shared" si="14"/>
        <v>3.2308354585367016E-2</v>
      </c>
      <c r="AI96" s="342">
        <v>5528.09</v>
      </c>
      <c r="AJ96" s="344">
        <f t="shared" si="15"/>
        <v>4.8765059098443302E-2</v>
      </c>
      <c r="AK96" s="342">
        <v>87565.39</v>
      </c>
      <c r="AL96" s="784">
        <f t="shared" si="16"/>
        <v>0.77244245631461073</v>
      </c>
      <c r="AM96" s="350">
        <v>42.98197431605211</v>
      </c>
      <c r="AN96" s="350">
        <v>25.099837059641064</v>
      </c>
      <c r="AO96" s="350">
        <v>349.9357925605803</v>
      </c>
      <c r="AP96" s="639">
        <f t="shared" si="17"/>
        <v>4.3290344523022918E-2</v>
      </c>
    </row>
    <row r="97" spans="1:42" x14ac:dyDescent="0.2">
      <c r="A97" s="638">
        <v>42401</v>
      </c>
      <c r="B97" s="341" t="s">
        <v>137</v>
      </c>
      <c r="C97" s="351" t="s">
        <v>204</v>
      </c>
      <c r="D97" s="342">
        <v>42750.009999999798</v>
      </c>
      <c r="E97" s="342">
        <v>3784</v>
      </c>
      <c r="F97" s="342">
        <v>38966.009999999798</v>
      </c>
      <c r="G97" s="342">
        <v>22330.079946160298</v>
      </c>
      <c r="H97" s="342">
        <v>8405.5799480676706</v>
      </c>
      <c r="I97" s="342">
        <v>13924.4999980927</v>
      </c>
      <c r="J97" s="342">
        <v>453.22000122070301</v>
      </c>
      <c r="K97" s="343">
        <v>21876.859944939668</v>
      </c>
      <c r="L97" s="342">
        <v>8934.6400680541992</v>
      </c>
      <c r="M97" s="342">
        <v>318</v>
      </c>
      <c r="N97" s="354">
        <v>251</v>
      </c>
      <c r="O97" s="343">
        <v>170.31876494023825</v>
      </c>
      <c r="P97" s="343">
        <v>133.45565709938487</v>
      </c>
      <c r="Q97" s="343">
        <v>88.964461936893912</v>
      </c>
      <c r="R97" s="344">
        <v>0.52234092918716224</v>
      </c>
      <c r="S97" s="344">
        <v>0.67576499903837928</v>
      </c>
      <c r="T97" s="343">
        <v>27252.87</v>
      </c>
      <c r="U97" s="342">
        <v>23288.19</v>
      </c>
      <c r="V97" s="342">
        <v>150</v>
      </c>
      <c r="W97" s="344">
        <f t="shared" si="18"/>
        <v>6.4410329871063404E-3</v>
      </c>
      <c r="X97" s="342">
        <v>0</v>
      </c>
      <c r="Y97" s="344">
        <f t="shared" si="19"/>
        <v>0</v>
      </c>
      <c r="Z97" s="342">
        <v>0</v>
      </c>
      <c r="AA97" s="344">
        <f t="shared" si="11"/>
        <v>0</v>
      </c>
      <c r="AB97" s="342">
        <v>0</v>
      </c>
      <c r="AC97" s="344">
        <f t="shared" si="12"/>
        <v>0</v>
      </c>
      <c r="AD97" s="342">
        <v>3964.68</v>
      </c>
      <c r="AE97" s="342">
        <v>525</v>
      </c>
      <c r="AF97" s="344">
        <f t="shared" si="13"/>
        <v>0.13241926208420352</v>
      </c>
      <c r="AG97" s="342">
        <v>0</v>
      </c>
      <c r="AH97" s="344">
        <f t="shared" si="14"/>
        <v>0</v>
      </c>
      <c r="AI97" s="342">
        <v>0</v>
      </c>
      <c r="AJ97" s="344">
        <f t="shared" si="15"/>
        <v>0</v>
      </c>
      <c r="AK97" s="342">
        <v>0</v>
      </c>
      <c r="AL97" s="784">
        <f t="shared" si="16"/>
        <v>0</v>
      </c>
      <c r="AM97" s="350">
        <v>21.224808578565863</v>
      </c>
      <c r="AN97" s="350">
        <v>19.868892656129333</v>
      </c>
      <c r="AO97" s="350">
        <v>35.425128412418623</v>
      </c>
      <c r="AP97" s="639">
        <f t="shared" si="17"/>
        <v>1.353001749514903E-2</v>
      </c>
    </row>
    <row r="98" spans="1:42" x14ac:dyDescent="0.2">
      <c r="A98" s="638">
        <v>42401</v>
      </c>
      <c r="B98" s="341" t="s">
        <v>137</v>
      </c>
      <c r="C98" s="351" t="s">
        <v>205</v>
      </c>
      <c r="D98" s="342">
        <v>0</v>
      </c>
      <c r="E98" s="342">
        <v>0</v>
      </c>
      <c r="F98" s="342">
        <v>0</v>
      </c>
      <c r="G98" s="342">
        <v>183.10000228881799</v>
      </c>
      <c r="H98" s="342">
        <v>156.09000205993701</v>
      </c>
      <c r="I98" s="342">
        <v>27.0100002288818</v>
      </c>
      <c r="J98" s="342">
        <v>687.47999572753895</v>
      </c>
      <c r="K98" s="343">
        <v>-504.37999343872013</v>
      </c>
      <c r="L98" s="342">
        <v>168.90999794006299</v>
      </c>
      <c r="M98" s="342">
        <v>0</v>
      </c>
      <c r="N98" s="354">
        <v>0</v>
      </c>
      <c r="O98" s="343" t="s">
        <v>311</v>
      </c>
      <c r="P98" s="343" t="s">
        <v>311</v>
      </c>
      <c r="Q98" s="343" t="s">
        <v>311</v>
      </c>
      <c r="R98" s="344" t="s">
        <v>312</v>
      </c>
      <c r="S98" s="344">
        <v>-0.21380446250273097</v>
      </c>
      <c r="T98" s="343">
        <v>9467.2900000000009</v>
      </c>
      <c r="U98" s="342">
        <v>1017</v>
      </c>
      <c r="V98" s="342">
        <v>0</v>
      </c>
      <c r="W98" s="344">
        <f t="shared" si="18"/>
        <v>0</v>
      </c>
      <c r="X98" s="342">
        <v>0</v>
      </c>
      <c r="Y98" s="344">
        <f t="shared" si="19"/>
        <v>0</v>
      </c>
      <c r="Z98" s="342">
        <v>0</v>
      </c>
      <c r="AA98" s="344">
        <f t="shared" si="11"/>
        <v>0</v>
      </c>
      <c r="AB98" s="342">
        <v>1017</v>
      </c>
      <c r="AC98" s="344">
        <f t="shared" si="12"/>
        <v>1</v>
      </c>
      <c r="AD98" s="342">
        <v>8450.2900000000009</v>
      </c>
      <c r="AE98" s="342">
        <v>0</v>
      </c>
      <c r="AF98" s="344">
        <f t="shared" si="13"/>
        <v>0</v>
      </c>
      <c r="AG98" s="342">
        <v>0</v>
      </c>
      <c r="AH98" s="344">
        <f t="shared" si="14"/>
        <v>0</v>
      </c>
      <c r="AI98" s="342">
        <v>5.5</v>
      </c>
      <c r="AJ98" s="344">
        <f t="shared" si="15"/>
        <v>6.5086523657767947E-4</v>
      </c>
      <c r="AK98" s="342">
        <v>7977.08</v>
      </c>
      <c r="AL98" s="784">
        <f t="shared" si="16"/>
        <v>0.94400073843619559</v>
      </c>
      <c r="AM98" s="350" t="s">
        <v>313</v>
      </c>
      <c r="AN98" s="350" t="s">
        <v>313</v>
      </c>
      <c r="AO98" s="350" t="s">
        <v>313</v>
      </c>
      <c r="AP98" s="639">
        <f t="shared" si="17"/>
        <v>-4.0700965254376973</v>
      </c>
    </row>
    <row r="99" spans="1:42" x14ac:dyDescent="0.2">
      <c r="A99" s="638">
        <v>42401</v>
      </c>
      <c r="B99" s="341" t="s">
        <v>137</v>
      </c>
      <c r="C99" s="351" t="s">
        <v>206</v>
      </c>
      <c r="D99" s="342">
        <v>213621.47999997801</v>
      </c>
      <c r="E99" s="342">
        <v>11808</v>
      </c>
      <c r="F99" s="342">
        <v>201813.47999997801</v>
      </c>
      <c r="G99" s="342">
        <v>144146.47979798901</v>
      </c>
      <c r="H99" s="342">
        <v>68710.549822568893</v>
      </c>
      <c r="I99" s="342">
        <v>75435.929975420193</v>
      </c>
      <c r="J99" s="342">
        <v>8484.5599915981293</v>
      </c>
      <c r="K99" s="343">
        <v>135661.91980639094</v>
      </c>
      <c r="L99" s="342">
        <v>66635.000261286303</v>
      </c>
      <c r="M99" s="342">
        <v>1495.12999916077</v>
      </c>
      <c r="N99" s="354">
        <v>1082</v>
      </c>
      <c r="O99" s="343">
        <v>197.43205175598706</v>
      </c>
      <c r="P99" s="343">
        <v>134.46520308644264</v>
      </c>
      <c r="Q99" s="343">
        <v>133.22225489647789</v>
      </c>
      <c r="R99" s="344">
        <v>0.67477521360681481</v>
      </c>
      <c r="S99" s="344">
        <v>1.0521119432342876</v>
      </c>
      <c r="T99" s="343">
        <v>361674.36</v>
      </c>
      <c r="U99" s="342">
        <v>175875.35</v>
      </c>
      <c r="V99" s="342">
        <v>6890.52</v>
      </c>
      <c r="W99" s="344">
        <f t="shared" si="18"/>
        <v>3.9178429495662699E-2</v>
      </c>
      <c r="X99" s="342">
        <v>4065.01</v>
      </c>
      <c r="Y99" s="344">
        <f t="shared" si="19"/>
        <v>2.3113017259098562E-2</v>
      </c>
      <c r="Z99" s="342">
        <v>7131.81</v>
      </c>
      <c r="AA99" s="344">
        <f t="shared" si="11"/>
        <v>4.0550367063946144E-2</v>
      </c>
      <c r="AB99" s="342">
        <v>16950.22</v>
      </c>
      <c r="AC99" s="344">
        <f t="shared" si="12"/>
        <v>9.6376325619252509E-2</v>
      </c>
      <c r="AD99" s="342">
        <v>185799.01</v>
      </c>
      <c r="AE99" s="342">
        <v>5470.02</v>
      </c>
      <c r="AF99" s="344">
        <f t="shared" si="13"/>
        <v>2.9440522853162673E-2</v>
      </c>
      <c r="AG99" s="342">
        <v>5933.83</v>
      </c>
      <c r="AH99" s="344">
        <f t="shared" si="14"/>
        <v>3.1936822483607422E-2</v>
      </c>
      <c r="AI99" s="342">
        <v>6369.5</v>
      </c>
      <c r="AJ99" s="344">
        <f t="shared" si="15"/>
        <v>3.4281668131600912E-2</v>
      </c>
      <c r="AK99" s="342">
        <v>145601</v>
      </c>
      <c r="AL99" s="784">
        <f t="shared" si="16"/>
        <v>0.78364787842518635</v>
      </c>
      <c r="AM99" s="350">
        <v>48.355877426495525</v>
      </c>
      <c r="AN99" s="350">
        <v>24.873780400743865</v>
      </c>
      <c r="AO99" s="350">
        <v>454.59122456469441</v>
      </c>
      <c r="AP99" s="639">
        <f t="shared" si="17"/>
        <v>5.8316594125958673E-2</v>
      </c>
    </row>
    <row r="100" spans="1:42" x14ac:dyDescent="0.2">
      <c r="A100" s="638">
        <v>42401</v>
      </c>
      <c r="B100" s="341" t="s">
        <v>137</v>
      </c>
      <c r="C100" s="351" t="s">
        <v>207</v>
      </c>
      <c r="D100" s="342">
        <v>0</v>
      </c>
      <c r="E100" s="342">
        <v>0</v>
      </c>
      <c r="F100" s="342">
        <v>0</v>
      </c>
      <c r="G100" s="342">
        <v>0</v>
      </c>
      <c r="H100" s="342">
        <v>0</v>
      </c>
      <c r="I100" s="342">
        <v>0</v>
      </c>
      <c r="J100" s="342">
        <v>0</v>
      </c>
      <c r="K100" s="343">
        <v>0</v>
      </c>
      <c r="L100" s="342">
        <v>0</v>
      </c>
      <c r="M100" s="342">
        <v>0</v>
      </c>
      <c r="N100" s="354">
        <v>0</v>
      </c>
      <c r="O100" s="343" t="s">
        <v>311</v>
      </c>
      <c r="P100" s="343" t="s">
        <v>311</v>
      </c>
      <c r="Q100" s="343" t="s">
        <v>311</v>
      </c>
      <c r="R100" s="344" t="s">
        <v>312</v>
      </c>
      <c r="S100" s="344" t="s">
        <v>312</v>
      </c>
      <c r="T100" s="343">
        <v>287.2</v>
      </c>
      <c r="U100" s="342">
        <v>0</v>
      </c>
      <c r="V100" s="342">
        <v>0</v>
      </c>
      <c r="W100" s="344" t="str">
        <f t="shared" si="18"/>
        <v>0.00%</v>
      </c>
      <c r="X100" s="342">
        <v>0</v>
      </c>
      <c r="Y100" s="344" t="str">
        <f t="shared" si="19"/>
        <v>0.00%</v>
      </c>
      <c r="Z100" s="342">
        <v>0</v>
      </c>
      <c r="AA100" s="344">
        <f t="shared" si="11"/>
        <v>0</v>
      </c>
      <c r="AB100" s="342">
        <v>0</v>
      </c>
      <c r="AC100" s="344" t="str">
        <f t="shared" si="12"/>
        <v>0.00%</v>
      </c>
      <c r="AD100" s="342">
        <v>287.2</v>
      </c>
      <c r="AE100" s="342">
        <v>0</v>
      </c>
      <c r="AF100" s="344">
        <f t="shared" si="13"/>
        <v>0</v>
      </c>
      <c r="AG100" s="342">
        <v>0</v>
      </c>
      <c r="AH100" s="344">
        <f t="shared" si="14"/>
        <v>0</v>
      </c>
      <c r="AI100" s="342">
        <v>0</v>
      </c>
      <c r="AJ100" s="344">
        <f t="shared" si="15"/>
        <v>0</v>
      </c>
      <c r="AK100" s="342">
        <v>287.2</v>
      </c>
      <c r="AL100" s="784">
        <f t="shared" si="16"/>
        <v>1</v>
      </c>
      <c r="AM100" s="350" t="s">
        <v>313</v>
      </c>
      <c r="AN100" s="350" t="s">
        <v>313</v>
      </c>
      <c r="AO100" s="350" t="s">
        <v>313</v>
      </c>
      <c r="AP100" s="639" t="str">
        <f t="shared" si="17"/>
        <v>0.00%</v>
      </c>
    </row>
    <row r="101" spans="1:42" x14ac:dyDescent="0.2">
      <c r="A101" s="638">
        <v>42401</v>
      </c>
      <c r="B101" s="341" t="s">
        <v>137</v>
      </c>
      <c r="C101" s="351" t="s">
        <v>208</v>
      </c>
      <c r="D101" s="342">
        <v>136897.519999977</v>
      </c>
      <c r="E101" s="342">
        <v>7864</v>
      </c>
      <c r="F101" s="342">
        <v>129033.519999977</v>
      </c>
      <c r="G101" s="342">
        <v>81906.279884464995</v>
      </c>
      <c r="H101" s="342">
        <v>42884.679888136699</v>
      </c>
      <c r="I101" s="342">
        <v>39021.599996328398</v>
      </c>
      <c r="J101" s="342">
        <v>4067.9899916648901</v>
      </c>
      <c r="K101" s="343">
        <v>77838.289892800211</v>
      </c>
      <c r="L101" s="342">
        <v>38031.170060329103</v>
      </c>
      <c r="M101" s="342">
        <v>672.59999847412098</v>
      </c>
      <c r="N101" s="354">
        <v>729</v>
      </c>
      <c r="O101" s="343">
        <v>187.78809327843209</v>
      </c>
      <c r="P101" s="343">
        <v>134.69650197691874</v>
      </c>
      <c r="Q101" s="343">
        <v>112.35429339432798</v>
      </c>
      <c r="R101" s="344">
        <v>0.59830360611703459</v>
      </c>
      <c r="S101" s="344">
        <v>0.87017921479095006</v>
      </c>
      <c r="T101" s="343">
        <v>289695.64</v>
      </c>
      <c r="U101" s="342">
        <v>148590.46</v>
      </c>
      <c r="V101" s="342">
        <v>7046.11</v>
      </c>
      <c r="W101" s="344">
        <f t="shared" si="18"/>
        <v>4.7419666107770313E-2</v>
      </c>
      <c r="X101" s="342">
        <v>1743.55</v>
      </c>
      <c r="Y101" s="344">
        <f t="shared" si="19"/>
        <v>1.1733929621053735E-2</v>
      </c>
      <c r="Z101" s="342">
        <v>2808.16</v>
      </c>
      <c r="AA101" s="344">
        <f t="shared" si="11"/>
        <v>1.8898656077920479E-2</v>
      </c>
      <c r="AB101" s="342">
        <v>16525.7</v>
      </c>
      <c r="AC101" s="344">
        <f t="shared" si="12"/>
        <v>0.11121642668042081</v>
      </c>
      <c r="AD101" s="342">
        <v>141105.18</v>
      </c>
      <c r="AE101" s="342">
        <v>4793.5</v>
      </c>
      <c r="AF101" s="344">
        <f t="shared" si="13"/>
        <v>3.397111289606803E-2</v>
      </c>
      <c r="AG101" s="342">
        <v>4417.46</v>
      </c>
      <c r="AH101" s="344">
        <f t="shared" si="14"/>
        <v>3.1306150490010363E-2</v>
      </c>
      <c r="AI101" s="342">
        <v>5769.96</v>
      </c>
      <c r="AJ101" s="344">
        <f t="shared" si="15"/>
        <v>4.0891199033231809E-2</v>
      </c>
      <c r="AK101" s="342">
        <v>115982.65</v>
      </c>
      <c r="AL101" s="784">
        <f t="shared" si="16"/>
        <v>0.82195883949830895</v>
      </c>
      <c r="AM101" s="350">
        <v>60.689683585603397</v>
      </c>
      <c r="AN101" s="350">
        <v>33.026889859105175</v>
      </c>
      <c r="AO101" s="350">
        <v>514.38792150191387</v>
      </c>
      <c r="AP101" s="639">
        <f t="shared" si="17"/>
        <v>4.142819674472107E-2</v>
      </c>
    </row>
    <row r="102" spans="1:42" x14ac:dyDescent="0.2">
      <c r="A102" s="638">
        <v>42430</v>
      </c>
      <c r="B102" s="341" t="s">
        <v>133</v>
      </c>
      <c r="C102" s="351" t="s">
        <v>161</v>
      </c>
      <c r="D102" s="342">
        <v>0</v>
      </c>
      <c r="E102" s="342">
        <v>0</v>
      </c>
      <c r="F102" s="342">
        <v>0</v>
      </c>
      <c r="G102" s="342">
        <v>39.210000038147001</v>
      </c>
      <c r="H102" s="342">
        <v>9.2100000381469709</v>
      </c>
      <c r="I102" s="342">
        <v>30</v>
      </c>
      <c r="J102" s="342">
        <v>10</v>
      </c>
      <c r="K102" s="343">
        <v>29.210000038146973</v>
      </c>
      <c r="L102" s="342">
        <v>-9.2100000381469709</v>
      </c>
      <c r="M102" s="342">
        <v>0</v>
      </c>
      <c r="N102" s="354">
        <v>0</v>
      </c>
      <c r="O102" s="343" t="s">
        <v>311</v>
      </c>
      <c r="P102" s="343" t="s">
        <v>311</v>
      </c>
      <c r="Q102" s="343" t="s">
        <v>311</v>
      </c>
      <c r="R102" s="344" t="s">
        <v>312</v>
      </c>
      <c r="S102" s="344">
        <v>-49.632913837332012</v>
      </c>
      <c r="T102" s="343">
        <v>6370.4000000000005</v>
      </c>
      <c r="U102" s="342">
        <v>-309.66000000000003</v>
      </c>
      <c r="V102" s="342">
        <v>0</v>
      </c>
      <c r="W102" s="344">
        <v>0</v>
      </c>
      <c r="X102" s="342">
        <v>0</v>
      </c>
      <c r="Y102" s="344">
        <f t="shared" si="19"/>
        <v>0</v>
      </c>
      <c r="Z102" s="342">
        <v>0</v>
      </c>
      <c r="AA102" s="344">
        <f t="shared" si="11"/>
        <v>0</v>
      </c>
      <c r="AB102" s="342">
        <v>-309.66000000000003</v>
      </c>
      <c r="AC102" s="344">
        <v>0</v>
      </c>
      <c r="AD102" s="342">
        <v>6680.06</v>
      </c>
      <c r="AE102" s="342">
        <v>0</v>
      </c>
      <c r="AF102" s="344">
        <f t="shared" si="13"/>
        <v>0</v>
      </c>
      <c r="AG102" s="342">
        <v>0</v>
      </c>
      <c r="AH102" s="344">
        <f t="shared" si="14"/>
        <v>0</v>
      </c>
      <c r="AI102" s="342">
        <v>0</v>
      </c>
      <c r="AJ102" s="344">
        <f t="shared" si="15"/>
        <v>0</v>
      </c>
      <c r="AK102" s="342">
        <v>6680.06</v>
      </c>
      <c r="AL102" s="784">
        <f t="shared" si="16"/>
        <v>1</v>
      </c>
      <c r="AM102" s="350" t="s">
        <v>313</v>
      </c>
      <c r="AN102" s="350" t="s">
        <v>313</v>
      </c>
      <c r="AO102" s="350" t="s">
        <v>313</v>
      </c>
      <c r="AP102" s="639">
        <f t="shared" si="17"/>
        <v>1.0857763255788189</v>
      </c>
    </row>
    <row r="103" spans="1:42" x14ac:dyDescent="0.2">
      <c r="A103" s="638">
        <v>42430</v>
      </c>
      <c r="B103" s="341" t="s">
        <v>133</v>
      </c>
      <c r="C103" s="351" t="s">
        <v>162</v>
      </c>
      <c r="D103" s="342">
        <v>182385.26999844037</v>
      </c>
      <c r="E103" s="342">
        <v>8044</v>
      </c>
      <c r="F103" s="342">
        <v>174341.26999844037</v>
      </c>
      <c r="G103" s="342">
        <v>119657.44994151639</v>
      </c>
      <c r="H103" s="342">
        <v>61734.839928507783</v>
      </c>
      <c r="I103" s="342">
        <v>57922.610013008103</v>
      </c>
      <c r="J103" s="342">
        <v>3329.1900084018698</v>
      </c>
      <c r="K103" s="343">
        <v>116328.25993311402</v>
      </c>
      <c r="L103" s="342">
        <v>57813.400112092502</v>
      </c>
      <c r="M103" s="342">
        <v>1756.3200006484999</v>
      </c>
      <c r="N103" s="354">
        <v>999</v>
      </c>
      <c r="O103" s="343">
        <v>182.56783783627665</v>
      </c>
      <c r="P103" s="343">
        <v>122.93848837407346</v>
      </c>
      <c r="Q103" s="343">
        <v>119.77722716868458</v>
      </c>
      <c r="R103" s="344">
        <v>0.65606970312097634</v>
      </c>
      <c r="S103" s="344">
        <v>1.0014318794579906</v>
      </c>
      <c r="T103" s="343">
        <v>330289.02</v>
      </c>
      <c r="U103" s="342">
        <v>158375.57</v>
      </c>
      <c r="V103" s="342">
        <v>7463.53</v>
      </c>
      <c r="W103" s="344">
        <f t="shared" si="18"/>
        <v>4.7125513107861262E-2</v>
      </c>
      <c r="X103" s="342">
        <v>3525.36</v>
      </c>
      <c r="Y103" s="344">
        <f t="shared" si="19"/>
        <v>2.2259493683274512E-2</v>
      </c>
      <c r="Z103" s="342">
        <v>2008.5</v>
      </c>
      <c r="AA103" s="344">
        <f t="shared" si="11"/>
        <v>1.2681880166240285E-2</v>
      </c>
      <c r="AB103" s="342">
        <v>20094.060000000001</v>
      </c>
      <c r="AC103" s="344">
        <f t="shared" si="12"/>
        <v>0.12687600745493766</v>
      </c>
      <c r="AD103" s="342">
        <v>171913.45</v>
      </c>
      <c r="AE103" s="342">
        <v>5066.2</v>
      </c>
      <c r="AF103" s="344">
        <f t="shared" si="13"/>
        <v>2.9469480136661789E-2</v>
      </c>
      <c r="AG103" s="342">
        <v>4975.12</v>
      </c>
      <c r="AH103" s="344">
        <f t="shared" si="14"/>
        <v>2.8939678658068926E-2</v>
      </c>
      <c r="AI103" s="342">
        <v>3489.74</v>
      </c>
      <c r="AJ103" s="344">
        <f t="shared" si="15"/>
        <v>2.029940065771468E-2</v>
      </c>
      <c r="AK103" s="342">
        <v>137446.03</v>
      </c>
      <c r="AL103" s="784">
        <f t="shared" si="16"/>
        <v>0.79950713571276699</v>
      </c>
      <c r="AM103" s="350">
        <v>52.499391620260518</v>
      </c>
      <c r="AN103" s="350">
        <v>26.390195308192713</v>
      </c>
      <c r="AO103" s="350">
        <v>592.82771370550597</v>
      </c>
      <c r="AP103" s="639">
        <f t="shared" si="17"/>
        <v>2.7107235293089869E-2</v>
      </c>
    </row>
    <row r="104" spans="1:42" x14ac:dyDescent="0.2">
      <c r="A104" s="638">
        <v>42430</v>
      </c>
      <c r="B104" s="341" t="s">
        <v>133</v>
      </c>
      <c r="C104" s="351" t="s">
        <v>163</v>
      </c>
      <c r="D104" s="342">
        <v>0</v>
      </c>
      <c r="E104" s="342">
        <v>0</v>
      </c>
      <c r="F104" s="342">
        <v>0</v>
      </c>
      <c r="G104" s="342">
        <v>109.739997386932</v>
      </c>
      <c r="H104" s="342">
        <v>5.1100001335143999</v>
      </c>
      <c r="I104" s="342">
        <v>104.629997253418</v>
      </c>
      <c r="J104" s="342">
        <v>0</v>
      </c>
      <c r="K104" s="343">
        <v>109.7399973869324</v>
      </c>
      <c r="L104" s="342">
        <v>-5.1100001335143999</v>
      </c>
      <c r="M104" s="342">
        <v>0</v>
      </c>
      <c r="N104" s="354">
        <v>1</v>
      </c>
      <c r="O104" s="343">
        <v>0</v>
      </c>
      <c r="P104" s="343">
        <v>5.1100001335143999</v>
      </c>
      <c r="Q104" s="343">
        <v>109.7399973869324</v>
      </c>
      <c r="R104" s="344" t="s">
        <v>312</v>
      </c>
      <c r="S104" s="344">
        <v>21.475537087991967</v>
      </c>
      <c r="T104" s="343">
        <v>7625.52</v>
      </c>
      <c r="U104" s="342">
        <v>61</v>
      </c>
      <c r="V104" s="342">
        <v>0</v>
      </c>
      <c r="W104" s="344">
        <f t="shared" si="18"/>
        <v>0</v>
      </c>
      <c r="X104" s="342">
        <v>0</v>
      </c>
      <c r="Y104" s="344">
        <f t="shared" si="19"/>
        <v>0</v>
      </c>
      <c r="Z104" s="342">
        <v>-5</v>
      </c>
      <c r="AA104" s="344">
        <v>0</v>
      </c>
      <c r="AB104" s="342">
        <v>66</v>
      </c>
      <c r="AC104" s="344">
        <f t="shared" si="12"/>
        <v>1.0819672131147542</v>
      </c>
      <c r="AD104" s="342">
        <v>7564.52</v>
      </c>
      <c r="AE104" s="342">
        <v>0</v>
      </c>
      <c r="AF104" s="344">
        <f t="shared" si="13"/>
        <v>0</v>
      </c>
      <c r="AG104" s="342">
        <v>0</v>
      </c>
      <c r="AH104" s="344">
        <f t="shared" si="14"/>
        <v>0</v>
      </c>
      <c r="AI104" s="342">
        <v>113.6</v>
      </c>
      <c r="AJ104" s="344">
        <f t="shared" si="15"/>
        <v>1.5017476323679491E-2</v>
      </c>
      <c r="AK104" s="342">
        <v>7450.92</v>
      </c>
      <c r="AL104" s="784">
        <f t="shared" si="16"/>
        <v>0.98498252367632044</v>
      </c>
      <c r="AM104" s="350" t="s">
        <v>313</v>
      </c>
      <c r="AN104" s="350" t="s">
        <v>313</v>
      </c>
      <c r="AO104" s="350" t="s">
        <v>313</v>
      </c>
      <c r="AP104" s="639">
        <f t="shared" si="17"/>
        <v>0</v>
      </c>
    </row>
    <row r="105" spans="1:42" x14ac:dyDescent="0.2">
      <c r="A105" s="638">
        <v>42430</v>
      </c>
      <c r="B105" s="341" t="s">
        <v>133</v>
      </c>
      <c r="C105" s="351" t="s">
        <v>164</v>
      </c>
      <c r="D105" s="342">
        <v>196556.240003468</v>
      </c>
      <c r="E105" s="342">
        <v>13770</v>
      </c>
      <c r="F105" s="342">
        <v>182786.240003468</v>
      </c>
      <c r="G105" s="342">
        <v>125627.15985655801</v>
      </c>
      <c r="H105" s="342">
        <v>56885.629875659899</v>
      </c>
      <c r="I105" s="342">
        <v>68741.529980897903</v>
      </c>
      <c r="J105" s="342">
        <v>2476.9999992847402</v>
      </c>
      <c r="K105" s="343">
        <v>123150.15985727306</v>
      </c>
      <c r="L105" s="342">
        <v>56662.280218958898</v>
      </c>
      <c r="M105" s="342">
        <v>2005.0600051879901</v>
      </c>
      <c r="N105" s="354">
        <v>1028</v>
      </c>
      <c r="O105" s="343">
        <v>191.20256809675877</v>
      </c>
      <c r="P105" s="343">
        <v>134.13317099155751</v>
      </c>
      <c r="Q105" s="343">
        <v>122.20540842077607</v>
      </c>
      <c r="R105" s="344">
        <v>0.63914104102897606</v>
      </c>
      <c r="S105" s="344">
        <v>0.92774091538946779</v>
      </c>
      <c r="T105" s="343">
        <v>233864.22999999998</v>
      </c>
      <c r="U105" s="342">
        <v>162020.31</v>
      </c>
      <c r="V105" s="342">
        <v>5985.84</v>
      </c>
      <c r="W105" s="344">
        <f t="shared" si="18"/>
        <v>3.694499782156941E-2</v>
      </c>
      <c r="X105" s="342">
        <v>1953.09</v>
      </c>
      <c r="Y105" s="344">
        <f t="shared" si="19"/>
        <v>1.2054599821466826E-2</v>
      </c>
      <c r="Z105" s="342">
        <v>5049.47</v>
      </c>
      <c r="AA105" s="344">
        <f t="shared" si="11"/>
        <v>3.1165660650815941E-2</v>
      </c>
      <c r="AB105" s="342">
        <v>20824.93</v>
      </c>
      <c r="AC105" s="344">
        <f t="shared" si="12"/>
        <v>0.12853283640797875</v>
      </c>
      <c r="AD105" s="342">
        <v>71843.92</v>
      </c>
      <c r="AE105" s="342">
        <v>5624.9</v>
      </c>
      <c r="AF105" s="344">
        <f t="shared" si="13"/>
        <v>7.8293333659967324E-2</v>
      </c>
      <c r="AG105" s="342">
        <v>4152.2</v>
      </c>
      <c r="AH105" s="344">
        <f t="shared" si="14"/>
        <v>5.7794730577062053E-2</v>
      </c>
      <c r="AI105" s="342">
        <v>4180.1899999999996</v>
      </c>
      <c r="AJ105" s="344">
        <f t="shared" si="15"/>
        <v>5.8184325131479461E-2</v>
      </c>
      <c r="AK105" s="342">
        <v>42551.19</v>
      </c>
      <c r="AL105" s="784">
        <f t="shared" si="16"/>
        <v>0.59227266552270541</v>
      </c>
      <c r="AM105" s="350">
        <v>37.663624681440773</v>
      </c>
      <c r="AN105" s="350">
        <v>28.262381455834717</v>
      </c>
      <c r="AO105" s="350">
        <v>150.75313702175282</v>
      </c>
      <c r="AP105" s="639">
        <f t="shared" si="17"/>
        <v>1.7963737496266619E-2</v>
      </c>
    </row>
    <row r="106" spans="1:42" x14ac:dyDescent="0.2">
      <c r="A106" s="638">
        <v>42430</v>
      </c>
      <c r="B106" s="341" t="s">
        <v>133</v>
      </c>
      <c r="C106" s="351" t="s">
        <v>165</v>
      </c>
      <c r="D106" s="342">
        <v>0</v>
      </c>
      <c r="E106" s="342">
        <v>0</v>
      </c>
      <c r="F106" s="342">
        <v>0</v>
      </c>
      <c r="G106" s="342">
        <v>115.80000209808399</v>
      </c>
      <c r="H106" s="342">
        <v>115.80000209808399</v>
      </c>
      <c r="I106" s="342">
        <v>0</v>
      </c>
      <c r="J106" s="342">
        <v>50</v>
      </c>
      <c r="K106" s="343">
        <v>65.800002098083993</v>
      </c>
      <c r="L106" s="342">
        <v>140.20000553131101</v>
      </c>
      <c r="M106" s="342">
        <v>0</v>
      </c>
      <c r="N106" s="354">
        <v>0</v>
      </c>
      <c r="O106" s="343" t="s">
        <v>311</v>
      </c>
      <c r="P106" s="343" t="s">
        <v>311</v>
      </c>
      <c r="Q106" s="343" t="s">
        <v>311</v>
      </c>
      <c r="R106" s="344" t="s">
        <v>312</v>
      </c>
      <c r="S106" s="344">
        <v>-0.60883280089611158</v>
      </c>
      <c r="T106" s="343">
        <v>3984.74</v>
      </c>
      <c r="U106" s="342">
        <v>1306.8399999999999</v>
      </c>
      <c r="V106" s="342">
        <v>0</v>
      </c>
      <c r="W106" s="344">
        <f t="shared" si="18"/>
        <v>0</v>
      </c>
      <c r="X106" s="342">
        <v>0</v>
      </c>
      <c r="Y106" s="344">
        <f t="shared" si="19"/>
        <v>0</v>
      </c>
      <c r="Z106" s="342">
        <v>0</v>
      </c>
      <c r="AA106" s="344">
        <f t="shared" si="11"/>
        <v>0</v>
      </c>
      <c r="AB106" s="342">
        <v>1306.8399999999999</v>
      </c>
      <c r="AC106" s="344">
        <f t="shared" si="12"/>
        <v>1</v>
      </c>
      <c r="AD106" s="342">
        <v>2677.9</v>
      </c>
      <c r="AE106" s="342">
        <v>0</v>
      </c>
      <c r="AF106" s="344">
        <f t="shared" si="13"/>
        <v>0</v>
      </c>
      <c r="AG106" s="342">
        <v>0</v>
      </c>
      <c r="AH106" s="344">
        <f t="shared" si="14"/>
        <v>0</v>
      </c>
      <c r="AI106" s="342">
        <v>0</v>
      </c>
      <c r="AJ106" s="344">
        <f t="shared" si="15"/>
        <v>0</v>
      </c>
      <c r="AK106" s="342">
        <v>2677.9</v>
      </c>
      <c r="AL106" s="784">
        <f t="shared" si="16"/>
        <v>1</v>
      </c>
      <c r="AM106" s="350" t="s">
        <v>313</v>
      </c>
      <c r="AN106" s="350" t="s">
        <v>313</v>
      </c>
      <c r="AO106" s="350" t="s">
        <v>313</v>
      </c>
      <c r="AP106" s="639">
        <f t="shared" si="17"/>
        <v>-0.35663336681419355</v>
      </c>
    </row>
    <row r="107" spans="1:42" x14ac:dyDescent="0.2">
      <c r="A107" s="638">
        <v>42430</v>
      </c>
      <c r="B107" s="341" t="s">
        <v>133</v>
      </c>
      <c r="C107" s="351" t="s">
        <v>166</v>
      </c>
      <c r="D107" s="342">
        <v>393364.50001072697</v>
      </c>
      <c r="E107" s="342">
        <v>19932</v>
      </c>
      <c r="F107" s="342">
        <v>373432.50001072697</v>
      </c>
      <c r="G107" s="342">
        <v>234475.65986232599</v>
      </c>
      <c r="H107" s="342">
        <v>107206.439848768</v>
      </c>
      <c r="I107" s="342">
        <v>127269.220013559</v>
      </c>
      <c r="J107" s="342">
        <v>4206.9200071990499</v>
      </c>
      <c r="K107" s="343">
        <v>230268.73985512793</v>
      </c>
      <c r="L107" s="342">
        <v>109884.870260082</v>
      </c>
      <c r="M107" s="342">
        <v>2716.8199968337999</v>
      </c>
      <c r="N107" s="354">
        <v>1957</v>
      </c>
      <c r="O107" s="343">
        <v>201.00383240200662</v>
      </c>
      <c r="P107" s="343">
        <v>143.46592220429798</v>
      </c>
      <c r="Q107" s="343">
        <v>119.81382721631425</v>
      </c>
      <c r="R107" s="344">
        <v>0.59607732740481889</v>
      </c>
      <c r="S107" s="344">
        <v>0.84784185965867453</v>
      </c>
      <c r="T107" s="343">
        <v>569504.34</v>
      </c>
      <c r="U107" s="342">
        <v>307891.3</v>
      </c>
      <c r="V107" s="342">
        <v>6764.75</v>
      </c>
      <c r="W107" s="344">
        <f t="shared" si="18"/>
        <v>2.1971228157469862E-2</v>
      </c>
      <c r="X107" s="342">
        <v>5661.85</v>
      </c>
      <c r="Y107" s="344">
        <f t="shared" si="19"/>
        <v>1.8389119796499612E-2</v>
      </c>
      <c r="Z107" s="342">
        <v>7140.17</v>
      </c>
      <c r="AA107" s="344">
        <f t="shared" si="11"/>
        <v>2.3190554588583698E-2</v>
      </c>
      <c r="AB107" s="342">
        <v>19663.259999999998</v>
      </c>
      <c r="AC107" s="344">
        <f t="shared" si="12"/>
        <v>6.3864292365519909E-2</v>
      </c>
      <c r="AD107" s="342">
        <v>261613.04</v>
      </c>
      <c r="AE107" s="342">
        <v>9443.67</v>
      </c>
      <c r="AF107" s="344">
        <f t="shared" si="13"/>
        <v>3.6097856590023188E-2</v>
      </c>
      <c r="AG107" s="342">
        <v>9336.85</v>
      </c>
      <c r="AH107" s="344">
        <f t="shared" si="14"/>
        <v>3.5689543609905686E-2</v>
      </c>
      <c r="AI107" s="342">
        <v>11531.65</v>
      </c>
      <c r="AJ107" s="344">
        <f t="shared" si="15"/>
        <v>4.4079033675079801E-2</v>
      </c>
      <c r="AK107" s="342">
        <v>189936.17</v>
      </c>
      <c r="AL107" s="784">
        <f t="shared" si="16"/>
        <v>0.72601950575552354</v>
      </c>
      <c r="AM107" s="350">
        <v>45.105494174782926</v>
      </c>
      <c r="AN107" s="350">
        <v>25.630299723381889</v>
      </c>
      <c r="AO107" s="350">
        <v>426.58929112054165</v>
      </c>
      <c r="AP107" s="639">
        <f t="shared" si="17"/>
        <v>1.4983893382773585E-2</v>
      </c>
    </row>
    <row r="108" spans="1:42" x14ac:dyDescent="0.2">
      <c r="A108" s="638">
        <v>42430</v>
      </c>
      <c r="B108" s="341" t="s">
        <v>133</v>
      </c>
      <c r="C108" s="351" t="s">
        <v>167</v>
      </c>
      <c r="D108" s="342">
        <v>0</v>
      </c>
      <c r="E108" s="342">
        <v>0</v>
      </c>
      <c r="F108" s="342">
        <v>0</v>
      </c>
      <c r="G108" s="342">
        <v>1419.0899963378899</v>
      </c>
      <c r="H108" s="342">
        <v>400.090000152588</v>
      </c>
      <c r="I108" s="342">
        <v>1018.9999961853</v>
      </c>
      <c r="J108" s="342">
        <v>51.829999923706097</v>
      </c>
      <c r="K108" s="343">
        <v>1367.2599964141818</v>
      </c>
      <c r="L108" s="342">
        <v>26.569999694824201</v>
      </c>
      <c r="M108" s="342">
        <v>0</v>
      </c>
      <c r="N108" s="354">
        <v>0</v>
      </c>
      <c r="O108" s="343" t="s">
        <v>311</v>
      </c>
      <c r="P108" s="343" t="s">
        <v>311</v>
      </c>
      <c r="Q108" s="343" t="s">
        <v>311</v>
      </c>
      <c r="R108" s="344" t="s">
        <v>312</v>
      </c>
      <c r="S108" s="344">
        <v>-18.100637796463428</v>
      </c>
      <c r="T108" s="343">
        <v>16193.85</v>
      </c>
      <c r="U108" s="342">
        <v>2790.35</v>
      </c>
      <c r="V108" s="342">
        <v>0</v>
      </c>
      <c r="W108" s="344">
        <f t="shared" si="18"/>
        <v>0</v>
      </c>
      <c r="X108" s="342">
        <v>804</v>
      </c>
      <c r="Y108" s="344">
        <f t="shared" si="19"/>
        <v>0.28813589693049257</v>
      </c>
      <c r="Z108" s="342">
        <v>815.77</v>
      </c>
      <c r="AA108" s="344">
        <f t="shared" si="11"/>
        <v>0.29235400576988552</v>
      </c>
      <c r="AB108" s="342">
        <v>1170.58</v>
      </c>
      <c r="AC108" s="344">
        <f t="shared" si="12"/>
        <v>0.41951009729962191</v>
      </c>
      <c r="AD108" s="342">
        <v>13403.5</v>
      </c>
      <c r="AE108" s="342">
        <v>0</v>
      </c>
      <c r="AF108" s="344">
        <f t="shared" si="13"/>
        <v>0</v>
      </c>
      <c r="AG108" s="342">
        <v>1426.72</v>
      </c>
      <c r="AH108" s="344">
        <f t="shared" si="14"/>
        <v>0.10644383929570635</v>
      </c>
      <c r="AI108" s="342">
        <v>1405.24</v>
      </c>
      <c r="AJ108" s="344">
        <f t="shared" si="15"/>
        <v>0.1048412728018801</v>
      </c>
      <c r="AK108" s="342">
        <v>10571.54</v>
      </c>
      <c r="AL108" s="784">
        <f t="shared" si="16"/>
        <v>0.78871488790241362</v>
      </c>
      <c r="AM108" s="350" t="s">
        <v>313</v>
      </c>
      <c r="AN108" s="350" t="s">
        <v>313</v>
      </c>
      <c r="AO108" s="350" t="s">
        <v>313</v>
      </c>
      <c r="AP108" s="639">
        <f t="shared" si="17"/>
        <v>-1.9506962935269627</v>
      </c>
    </row>
    <row r="109" spans="1:42" x14ac:dyDescent="0.2">
      <c r="A109" s="638">
        <v>42430</v>
      </c>
      <c r="B109" s="341" t="s">
        <v>133</v>
      </c>
      <c r="C109" s="351" t="s">
        <v>168</v>
      </c>
      <c r="D109" s="342">
        <v>0</v>
      </c>
      <c r="E109" s="342">
        <v>0</v>
      </c>
      <c r="F109" s="342">
        <v>0</v>
      </c>
      <c r="G109" s="342">
        <v>0</v>
      </c>
      <c r="H109" s="342">
        <v>0</v>
      </c>
      <c r="I109" s="342">
        <v>0</v>
      </c>
      <c r="J109" s="342">
        <v>0</v>
      </c>
      <c r="K109" s="343">
        <v>0</v>
      </c>
      <c r="L109" s="342">
        <v>0</v>
      </c>
      <c r="M109" s="342">
        <v>0</v>
      </c>
      <c r="N109" s="354">
        <v>0</v>
      </c>
      <c r="O109" s="343" t="s">
        <v>311</v>
      </c>
      <c r="P109" s="343" t="s">
        <v>311</v>
      </c>
      <c r="Q109" s="343" t="s">
        <v>311</v>
      </c>
      <c r="R109" s="344" t="s">
        <v>312</v>
      </c>
      <c r="S109" s="344" t="s">
        <v>312</v>
      </c>
      <c r="T109" s="343">
        <v>2730.67</v>
      </c>
      <c r="U109" s="342">
        <v>0</v>
      </c>
      <c r="V109" s="342">
        <v>0</v>
      </c>
      <c r="W109" s="344" t="str">
        <f t="shared" si="18"/>
        <v>0.00%</v>
      </c>
      <c r="X109" s="342">
        <v>0</v>
      </c>
      <c r="Y109" s="344" t="str">
        <f t="shared" si="19"/>
        <v>0.00%</v>
      </c>
      <c r="Z109" s="342">
        <v>0</v>
      </c>
      <c r="AA109" s="344">
        <f t="shared" si="11"/>
        <v>0</v>
      </c>
      <c r="AB109" s="342">
        <v>0</v>
      </c>
      <c r="AC109" s="344" t="str">
        <f t="shared" si="12"/>
        <v>0.00%</v>
      </c>
      <c r="AD109" s="342">
        <v>2730.67</v>
      </c>
      <c r="AE109" s="342">
        <v>0</v>
      </c>
      <c r="AF109" s="344">
        <f t="shared" si="13"/>
        <v>0</v>
      </c>
      <c r="AG109" s="342">
        <v>0</v>
      </c>
      <c r="AH109" s="344">
        <f t="shared" si="14"/>
        <v>0</v>
      </c>
      <c r="AI109" s="342">
        <v>0</v>
      </c>
      <c r="AJ109" s="344">
        <f t="shared" si="15"/>
        <v>0</v>
      </c>
      <c r="AK109" s="342">
        <v>2730.67</v>
      </c>
      <c r="AL109" s="784">
        <f t="shared" si="16"/>
        <v>1</v>
      </c>
      <c r="AM109" s="350" t="s">
        <v>313</v>
      </c>
      <c r="AN109" s="350" t="s">
        <v>313</v>
      </c>
      <c r="AO109" s="350" t="s">
        <v>313</v>
      </c>
      <c r="AP109" s="639" t="str">
        <f t="shared" si="17"/>
        <v>0.00%</v>
      </c>
    </row>
    <row r="110" spans="1:42" x14ac:dyDescent="0.2">
      <c r="A110" s="638">
        <v>42430</v>
      </c>
      <c r="B110" s="341" t="s">
        <v>133</v>
      </c>
      <c r="C110" s="351" t="s">
        <v>169</v>
      </c>
      <c r="D110" s="342">
        <v>280582.04000776599</v>
      </c>
      <c r="E110" s="342">
        <v>11069</v>
      </c>
      <c r="F110" s="342">
        <v>269513.04000776599</v>
      </c>
      <c r="G110" s="342">
        <v>165233.21991109799</v>
      </c>
      <c r="H110" s="342">
        <v>84925.789916992202</v>
      </c>
      <c r="I110" s="342">
        <v>80307.429994106293</v>
      </c>
      <c r="J110" s="342">
        <v>3963.35000491142</v>
      </c>
      <c r="K110" s="343">
        <v>161269.86990618706</v>
      </c>
      <c r="L110" s="342">
        <v>83715.050213154405</v>
      </c>
      <c r="M110" s="342">
        <v>1138.75000095367</v>
      </c>
      <c r="N110" s="354">
        <v>1451</v>
      </c>
      <c r="O110" s="343">
        <v>193.37149552568297</v>
      </c>
      <c r="P110" s="343">
        <v>134.89196402043964</v>
      </c>
      <c r="Q110" s="343">
        <v>113.87541000075706</v>
      </c>
      <c r="R110" s="344">
        <v>0.58889449911521474</v>
      </c>
      <c r="S110" s="344">
        <v>0.8616447989677567</v>
      </c>
      <c r="T110" s="343">
        <v>436541.05</v>
      </c>
      <c r="U110" s="342">
        <v>225134.84</v>
      </c>
      <c r="V110" s="342">
        <v>4358.96</v>
      </c>
      <c r="W110" s="344">
        <f t="shared" si="18"/>
        <v>1.9361552392335189E-2</v>
      </c>
      <c r="X110" s="342">
        <v>3090.14</v>
      </c>
      <c r="Y110" s="344">
        <f t="shared" si="19"/>
        <v>1.3725729878147691E-2</v>
      </c>
      <c r="Z110" s="342">
        <v>3089.94</v>
      </c>
      <c r="AA110" s="344">
        <f t="shared" si="11"/>
        <v>1.3724841521640987E-2</v>
      </c>
      <c r="AB110" s="342">
        <v>17433.2</v>
      </c>
      <c r="AC110" s="344">
        <f t="shared" si="12"/>
        <v>7.7434483263452258E-2</v>
      </c>
      <c r="AD110" s="342">
        <v>211406.21</v>
      </c>
      <c r="AE110" s="342">
        <v>8214.5400000000009</v>
      </c>
      <c r="AF110" s="344">
        <f t="shared" si="13"/>
        <v>3.8856663671327354E-2</v>
      </c>
      <c r="AG110" s="342">
        <v>5813.38</v>
      </c>
      <c r="AH110" s="344">
        <f t="shared" si="14"/>
        <v>2.7498624567367253E-2</v>
      </c>
      <c r="AI110" s="342">
        <v>5945.7</v>
      </c>
      <c r="AJ110" s="344">
        <f t="shared" si="15"/>
        <v>2.8124528603015019E-2</v>
      </c>
      <c r="AK110" s="342">
        <v>160503.04000000001</v>
      </c>
      <c r="AL110" s="784">
        <f t="shared" si="16"/>
        <v>0.75921629738312801</v>
      </c>
      <c r="AM110" s="350">
        <v>47.828944789061985</v>
      </c>
      <c r="AN110" s="350">
        <v>25.767298258995133</v>
      </c>
      <c r="AO110" s="350">
        <v>542.20623236727363</v>
      </c>
      <c r="AP110" s="639">
        <f t="shared" si="17"/>
        <v>2.024924972037603E-2</v>
      </c>
    </row>
    <row r="111" spans="1:42" x14ac:dyDescent="0.2">
      <c r="A111" s="638">
        <v>42430</v>
      </c>
      <c r="B111" s="341" t="s">
        <v>133</v>
      </c>
      <c r="C111" s="351" t="s">
        <v>170</v>
      </c>
      <c r="D111" s="342">
        <v>0</v>
      </c>
      <c r="E111" s="342">
        <v>0</v>
      </c>
      <c r="F111" s="342">
        <v>0</v>
      </c>
      <c r="G111" s="342">
        <v>0</v>
      </c>
      <c r="H111" s="342">
        <v>0</v>
      </c>
      <c r="I111" s="342">
        <v>0</v>
      </c>
      <c r="J111" s="342">
        <v>0</v>
      </c>
      <c r="K111" s="343">
        <v>0</v>
      </c>
      <c r="L111" s="342">
        <v>0</v>
      </c>
      <c r="M111" s="342">
        <v>0</v>
      </c>
      <c r="N111" s="354">
        <v>0</v>
      </c>
      <c r="O111" s="343" t="s">
        <v>311</v>
      </c>
      <c r="P111" s="343" t="s">
        <v>311</v>
      </c>
      <c r="Q111" s="343" t="s">
        <v>311</v>
      </c>
      <c r="R111" s="344" t="s">
        <v>312</v>
      </c>
      <c r="S111" s="344" t="s">
        <v>312</v>
      </c>
      <c r="T111" s="343">
        <v>192.58</v>
      </c>
      <c r="U111" s="342">
        <v>0</v>
      </c>
      <c r="V111" s="342">
        <v>0</v>
      </c>
      <c r="W111" s="344" t="str">
        <f t="shared" si="18"/>
        <v>0.00%</v>
      </c>
      <c r="X111" s="342">
        <v>0</v>
      </c>
      <c r="Y111" s="344" t="str">
        <f t="shared" si="19"/>
        <v>0.00%</v>
      </c>
      <c r="Z111" s="342">
        <v>0</v>
      </c>
      <c r="AA111" s="344">
        <f t="shared" si="11"/>
        <v>0</v>
      </c>
      <c r="AB111" s="342">
        <v>0</v>
      </c>
      <c r="AC111" s="344" t="str">
        <f t="shared" si="12"/>
        <v>0.00%</v>
      </c>
      <c r="AD111" s="342">
        <v>192.58</v>
      </c>
      <c r="AE111" s="342">
        <v>0</v>
      </c>
      <c r="AF111" s="344">
        <f t="shared" si="13"/>
        <v>0</v>
      </c>
      <c r="AG111" s="342">
        <v>0</v>
      </c>
      <c r="AH111" s="344">
        <f t="shared" si="14"/>
        <v>0</v>
      </c>
      <c r="AI111" s="342">
        <v>0</v>
      </c>
      <c r="AJ111" s="344">
        <f t="shared" si="15"/>
        <v>0</v>
      </c>
      <c r="AK111" s="342">
        <v>192.58</v>
      </c>
      <c r="AL111" s="784">
        <f t="shared" si="16"/>
        <v>1</v>
      </c>
      <c r="AM111" s="350" t="s">
        <v>313</v>
      </c>
      <c r="AN111" s="350" t="s">
        <v>313</v>
      </c>
      <c r="AO111" s="350" t="s">
        <v>313</v>
      </c>
      <c r="AP111" s="639" t="str">
        <f t="shared" si="17"/>
        <v>0.00%</v>
      </c>
    </row>
    <row r="112" spans="1:42" x14ac:dyDescent="0.2">
      <c r="A112" s="638">
        <v>42430</v>
      </c>
      <c r="B112" s="341" t="s">
        <v>133</v>
      </c>
      <c r="C112" s="351" t="s">
        <v>171</v>
      </c>
      <c r="D112" s="342">
        <v>288296.63000326802</v>
      </c>
      <c r="E112" s="342">
        <v>16049</v>
      </c>
      <c r="F112" s="342">
        <v>272247.63000326802</v>
      </c>
      <c r="G112" s="342">
        <v>163665.06981815401</v>
      </c>
      <c r="H112" s="342">
        <v>86887.339827060699</v>
      </c>
      <c r="I112" s="342">
        <v>76777.729991093307</v>
      </c>
      <c r="J112" s="342">
        <v>3478.1600112914998</v>
      </c>
      <c r="K112" s="343">
        <v>160186.9098068625</v>
      </c>
      <c r="L112" s="342">
        <v>79749.560252843396</v>
      </c>
      <c r="M112" s="342">
        <v>769.82999801635697</v>
      </c>
      <c r="N112" s="354">
        <v>1546</v>
      </c>
      <c r="O112" s="343">
        <v>186.47906209784477</v>
      </c>
      <c r="P112" s="343">
        <v>134.39666219431322</v>
      </c>
      <c r="Q112" s="343">
        <v>105.86356391859897</v>
      </c>
      <c r="R112" s="344">
        <v>0.56769678444142324</v>
      </c>
      <c r="S112" s="344">
        <v>0.8011052718668471</v>
      </c>
      <c r="T112" s="343">
        <v>491050.14</v>
      </c>
      <c r="U112" s="342">
        <v>260880.27</v>
      </c>
      <c r="V112" s="342">
        <v>5324.45</v>
      </c>
      <c r="W112" s="344">
        <f t="shared" si="18"/>
        <v>2.0409554160611687E-2</v>
      </c>
      <c r="X112" s="342">
        <v>7696.33</v>
      </c>
      <c r="Y112" s="344">
        <f t="shared" si="19"/>
        <v>2.9501387743887265E-2</v>
      </c>
      <c r="Z112" s="342">
        <v>8389.1299999999992</v>
      </c>
      <c r="AA112" s="344">
        <f t="shared" si="11"/>
        <v>3.2157012103674991E-2</v>
      </c>
      <c r="AB112" s="342">
        <v>17204.73</v>
      </c>
      <c r="AC112" s="344">
        <f t="shared" si="12"/>
        <v>6.5948758792682943E-2</v>
      </c>
      <c r="AD112" s="342">
        <v>230169.87</v>
      </c>
      <c r="AE112" s="342">
        <v>6567.24</v>
      </c>
      <c r="AF112" s="344">
        <f t="shared" si="13"/>
        <v>2.8532144541768216E-2</v>
      </c>
      <c r="AG112" s="342">
        <v>7181.47</v>
      </c>
      <c r="AH112" s="344">
        <f t="shared" si="14"/>
        <v>3.1200738828240204E-2</v>
      </c>
      <c r="AI112" s="342">
        <v>5958.97</v>
      </c>
      <c r="AJ112" s="344">
        <f t="shared" si="15"/>
        <v>2.5889444174426481E-2</v>
      </c>
      <c r="AK112" s="342">
        <v>182183.12</v>
      </c>
      <c r="AL112" s="784">
        <f t="shared" si="16"/>
        <v>0.79151593560008526</v>
      </c>
      <c r="AM112" s="350">
        <v>54.643330473320525</v>
      </c>
      <c r="AN112" s="350">
        <v>30.518957044535192</v>
      </c>
      <c r="AO112" s="350">
        <v>525.11567593601865</v>
      </c>
      <c r="AP112" s="639">
        <f t="shared" si="17"/>
        <v>1.6739850887595525E-2</v>
      </c>
    </row>
    <row r="113" spans="1:42" x14ac:dyDescent="0.2">
      <c r="A113" s="638">
        <v>42430</v>
      </c>
      <c r="B113" s="341" t="s">
        <v>133</v>
      </c>
      <c r="C113" s="351" t="s">
        <v>172</v>
      </c>
      <c r="D113" s="342">
        <v>0</v>
      </c>
      <c r="E113" s="342">
        <v>0</v>
      </c>
      <c r="F113" s="342">
        <v>0</v>
      </c>
      <c r="G113" s="342">
        <v>30</v>
      </c>
      <c r="H113" s="342">
        <v>0</v>
      </c>
      <c r="I113" s="342">
        <v>30</v>
      </c>
      <c r="J113" s="342">
        <v>0</v>
      </c>
      <c r="K113" s="343">
        <v>30</v>
      </c>
      <c r="L113" s="342">
        <v>0</v>
      </c>
      <c r="M113" s="342">
        <v>0</v>
      </c>
      <c r="N113" s="354">
        <v>0</v>
      </c>
      <c r="O113" s="343" t="s">
        <v>311</v>
      </c>
      <c r="P113" s="343" t="s">
        <v>311</v>
      </c>
      <c r="Q113" s="343" t="s">
        <v>311</v>
      </c>
      <c r="R113" s="344" t="s">
        <v>312</v>
      </c>
      <c r="S113" s="344" t="s">
        <v>312</v>
      </c>
      <c r="T113" s="343">
        <v>4525.88</v>
      </c>
      <c r="U113" s="342">
        <v>157</v>
      </c>
      <c r="V113" s="342">
        <v>0</v>
      </c>
      <c r="W113" s="344">
        <f t="shared" si="18"/>
        <v>0</v>
      </c>
      <c r="X113" s="342">
        <v>0</v>
      </c>
      <c r="Y113" s="344">
        <f t="shared" si="19"/>
        <v>0</v>
      </c>
      <c r="Z113" s="342">
        <v>0</v>
      </c>
      <c r="AA113" s="344">
        <f t="shared" si="11"/>
        <v>0</v>
      </c>
      <c r="AB113" s="342">
        <v>157</v>
      </c>
      <c r="AC113" s="344">
        <f t="shared" si="12"/>
        <v>1</v>
      </c>
      <c r="AD113" s="342">
        <v>4368.88</v>
      </c>
      <c r="AE113" s="342">
        <v>0</v>
      </c>
      <c r="AF113" s="344">
        <f t="shared" si="13"/>
        <v>0</v>
      </c>
      <c r="AG113" s="342">
        <v>0</v>
      </c>
      <c r="AH113" s="344">
        <f t="shared" si="14"/>
        <v>0</v>
      </c>
      <c r="AI113" s="342">
        <v>0</v>
      </c>
      <c r="AJ113" s="344">
        <f t="shared" si="15"/>
        <v>0</v>
      </c>
      <c r="AK113" s="342">
        <v>4368.88</v>
      </c>
      <c r="AL113" s="784">
        <f t="shared" si="16"/>
        <v>1</v>
      </c>
      <c r="AM113" s="350" t="s">
        <v>313</v>
      </c>
      <c r="AN113" s="350" t="s">
        <v>313</v>
      </c>
      <c r="AO113" s="350" t="s">
        <v>313</v>
      </c>
      <c r="AP113" s="639" t="str">
        <f t="shared" si="17"/>
        <v>0.00%</v>
      </c>
    </row>
    <row r="114" spans="1:42" x14ac:dyDescent="0.2">
      <c r="A114" s="638">
        <v>42430</v>
      </c>
      <c r="B114" s="341" t="s">
        <v>133</v>
      </c>
      <c r="C114" s="351" t="s">
        <v>173</v>
      </c>
      <c r="D114" s="342">
        <v>292505.18000668997</v>
      </c>
      <c r="E114" s="342">
        <v>20550.009999999798</v>
      </c>
      <c r="F114" s="342">
        <v>271955.17000669101</v>
      </c>
      <c r="G114" s="342">
        <v>176207.27981119</v>
      </c>
      <c r="H114" s="342">
        <v>83002.089822232694</v>
      </c>
      <c r="I114" s="342">
        <v>93205.189988957703</v>
      </c>
      <c r="J114" s="342">
        <v>3510.9200050234799</v>
      </c>
      <c r="K114" s="343">
        <v>172696.3598061669</v>
      </c>
      <c r="L114" s="342">
        <v>82534.410302318603</v>
      </c>
      <c r="M114" s="342">
        <v>2501.2100124359099</v>
      </c>
      <c r="N114" s="354">
        <v>1607</v>
      </c>
      <c r="O114" s="343">
        <v>182.01940261772918</v>
      </c>
      <c r="P114" s="343">
        <v>129.10364635465854</v>
      </c>
      <c r="Q114" s="343">
        <v>109.64983186757335</v>
      </c>
      <c r="R114" s="344">
        <v>0.60240738234844182</v>
      </c>
      <c r="S114" s="344">
        <v>0.86393633572805639</v>
      </c>
      <c r="T114" s="343">
        <v>523769.92000000004</v>
      </c>
      <c r="U114" s="342">
        <v>248023.91</v>
      </c>
      <c r="V114" s="342">
        <v>6686.19</v>
      </c>
      <c r="W114" s="344">
        <f t="shared" si="18"/>
        <v>2.6957844507813782E-2</v>
      </c>
      <c r="X114" s="342">
        <v>5348.19</v>
      </c>
      <c r="Y114" s="344">
        <f t="shared" si="19"/>
        <v>2.156320332180877E-2</v>
      </c>
      <c r="Z114" s="342">
        <v>6304.39</v>
      </c>
      <c r="AA114" s="344">
        <f t="shared" si="11"/>
        <v>2.5418476791209364E-2</v>
      </c>
      <c r="AB114" s="342">
        <v>30229.99</v>
      </c>
      <c r="AC114" s="344">
        <f t="shared" si="12"/>
        <v>0.12188337003476803</v>
      </c>
      <c r="AD114" s="342">
        <v>275746.01</v>
      </c>
      <c r="AE114" s="342">
        <v>11594.88</v>
      </c>
      <c r="AF114" s="344">
        <f t="shared" si="13"/>
        <v>4.2049130647438919E-2</v>
      </c>
      <c r="AG114" s="342">
        <v>7424.23</v>
      </c>
      <c r="AH114" s="344">
        <f t="shared" si="14"/>
        <v>2.6924161114788205E-2</v>
      </c>
      <c r="AI114" s="342">
        <v>8559.4699999999993</v>
      </c>
      <c r="AJ114" s="344">
        <f t="shared" si="15"/>
        <v>3.1041138183649508E-2</v>
      </c>
      <c r="AK114" s="342">
        <v>214472.75</v>
      </c>
      <c r="AL114" s="784">
        <f t="shared" si="16"/>
        <v>0.77779094609564792</v>
      </c>
      <c r="AM114" s="350">
        <v>57.594113846549391</v>
      </c>
      <c r="AN114" s="350">
        <v>29.29335030356043</v>
      </c>
      <c r="AO114" s="350">
        <v>439.60704486793691</v>
      </c>
      <c r="AP114" s="639">
        <f t="shared" si="17"/>
        <v>1.6922578956820106E-2</v>
      </c>
    </row>
    <row r="115" spans="1:42" x14ac:dyDescent="0.2">
      <c r="A115" s="638">
        <v>42430</v>
      </c>
      <c r="B115" s="341" t="s">
        <v>133</v>
      </c>
      <c r="C115" s="351" t="s">
        <v>174</v>
      </c>
      <c r="D115" s="342">
        <v>191717.54000375199</v>
      </c>
      <c r="E115" s="342">
        <v>10002</v>
      </c>
      <c r="F115" s="342">
        <v>181715.54000375199</v>
      </c>
      <c r="G115" s="342">
        <v>113117.46975138799</v>
      </c>
      <c r="H115" s="342">
        <v>58171.449785739198</v>
      </c>
      <c r="I115" s="342">
        <v>54946.019965648702</v>
      </c>
      <c r="J115" s="342">
        <v>1809.2800075002001</v>
      </c>
      <c r="K115" s="343">
        <v>111308.18974388769</v>
      </c>
      <c r="L115" s="342">
        <v>54241.630153655999</v>
      </c>
      <c r="M115" s="342">
        <v>2204.74000549316</v>
      </c>
      <c r="N115" s="354">
        <v>1000</v>
      </c>
      <c r="O115" s="343">
        <v>191.71754000375199</v>
      </c>
      <c r="P115" s="343">
        <v>135.27116984460281</v>
      </c>
      <c r="Q115" s="343">
        <v>113.11746975138789</v>
      </c>
      <c r="R115" s="344">
        <v>0.59002149594228126</v>
      </c>
      <c r="S115" s="344">
        <v>0.84756382432058941</v>
      </c>
      <c r="T115" s="343">
        <v>242837.74</v>
      </c>
      <c r="U115" s="342">
        <v>153897.87</v>
      </c>
      <c r="V115" s="342">
        <v>3436.49</v>
      </c>
      <c r="W115" s="344">
        <f t="shared" si="18"/>
        <v>2.2329678766834133E-2</v>
      </c>
      <c r="X115" s="342">
        <v>4119.3500000000004</v>
      </c>
      <c r="Y115" s="344">
        <f t="shared" si="19"/>
        <v>2.6766777214005628E-2</v>
      </c>
      <c r="Z115" s="342">
        <v>3350.07</v>
      </c>
      <c r="AA115" s="344">
        <f t="shared" si="11"/>
        <v>2.1768137531728023E-2</v>
      </c>
      <c r="AB115" s="342">
        <v>11868.06</v>
      </c>
      <c r="AC115" s="344">
        <f t="shared" si="12"/>
        <v>7.7116466914064499E-2</v>
      </c>
      <c r="AD115" s="342">
        <v>88939.87</v>
      </c>
      <c r="AE115" s="342">
        <v>5648.7</v>
      </c>
      <c r="AF115" s="344">
        <f t="shared" si="13"/>
        <v>6.351144880243248E-2</v>
      </c>
      <c r="AG115" s="342">
        <v>5801.47</v>
      </c>
      <c r="AH115" s="344">
        <f t="shared" si="14"/>
        <v>6.5229126150060712E-2</v>
      </c>
      <c r="AI115" s="342">
        <v>6171.78</v>
      </c>
      <c r="AJ115" s="344">
        <f t="shared" si="15"/>
        <v>6.9392725669601266E-2</v>
      </c>
      <c r="AK115" s="342">
        <v>54232.81</v>
      </c>
      <c r="AL115" s="784">
        <f t="shared" si="16"/>
        <v>0.60976938689026638</v>
      </c>
      <c r="AM115" s="350">
        <v>42.536517341011752</v>
      </c>
      <c r="AN115" s="350">
        <v>28.401826715073703</v>
      </c>
      <c r="AO115" s="350">
        <v>306.33709529276695</v>
      </c>
      <c r="AP115" s="639">
        <f t="shared" si="17"/>
        <v>1.3375207810937612E-2</v>
      </c>
    </row>
    <row r="116" spans="1:42" x14ac:dyDescent="0.2">
      <c r="A116" s="638">
        <v>42430</v>
      </c>
      <c r="B116" s="341" t="s">
        <v>133</v>
      </c>
      <c r="C116" s="351" t="s">
        <v>175</v>
      </c>
      <c r="D116" s="342">
        <v>0</v>
      </c>
      <c r="E116" s="342">
        <v>0</v>
      </c>
      <c r="F116" s="342">
        <v>0</v>
      </c>
      <c r="G116" s="342">
        <v>2609.3300037384001</v>
      </c>
      <c r="H116" s="342">
        <v>1457.60000038147</v>
      </c>
      <c r="I116" s="342">
        <v>1151.73000335693</v>
      </c>
      <c r="J116" s="342">
        <v>62.630001068115199</v>
      </c>
      <c r="K116" s="343">
        <v>2546.7000026702844</v>
      </c>
      <c r="L116" s="342">
        <v>366.150005340576</v>
      </c>
      <c r="M116" s="342">
        <v>0</v>
      </c>
      <c r="N116" s="354">
        <v>6</v>
      </c>
      <c r="O116" s="343">
        <v>0</v>
      </c>
      <c r="P116" s="343">
        <v>-61.025000890096003</v>
      </c>
      <c r="Q116" s="343">
        <v>434.88833395639995</v>
      </c>
      <c r="R116" s="344" t="s">
        <v>312</v>
      </c>
      <c r="S116" s="344">
        <v>-6.0854749865629687</v>
      </c>
      <c r="T116" s="343">
        <v>24842.460000000003</v>
      </c>
      <c r="U116" s="342">
        <v>3379.13</v>
      </c>
      <c r="V116" s="342">
        <v>0</v>
      </c>
      <c r="W116" s="344">
        <f t="shared" si="18"/>
        <v>0</v>
      </c>
      <c r="X116" s="342">
        <v>837.04</v>
      </c>
      <c r="Y116" s="344">
        <f t="shared" si="19"/>
        <v>0.24770872976180258</v>
      </c>
      <c r="Z116" s="342">
        <v>643.41</v>
      </c>
      <c r="AA116" s="344">
        <f t="shared" si="11"/>
        <v>0.19040699825102911</v>
      </c>
      <c r="AB116" s="342">
        <v>1898.68</v>
      </c>
      <c r="AC116" s="344">
        <f t="shared" si="12"/>
        <v>0.56188427198716828</v>
      </c>
      <c r="AD116" s="342">
        <v>21463.33</v>
      </c>
      <c r="AE116" s="342">
        <v>0</v>
      </c>
      <c r="AF116" s="344">
        <f t="shared" si="13"/>
        <v>0</v>
      </c>
      <c r="AG116" s="342">
        <v>2116.59</v>
      </c>
      <c r="AH116" s="344">
        <f t="shared" si="14"/>
        <v>9.8614241126609894E-2</v>
      </c>
      <c r="AI116" s="342">
        <v>2416.9299999999998</v>
      </c>
      <c r="AJ116" s="344">
        <f t="shared" si="15"/>
        <v>0.11260740994058237</v>
      </c>
      <c r="AK116" s="342">
        <v>16929.810000000001</v>
      </c>
      <c r="AL116" s="784">
        <f t="shared" si="16"/>
        <v>0.78877834893280774</v>
      </c>
      <c r="AM116" s="350" t="s">
        <v>313</v>
      </c>
      <c r="AN116" s="350" t="s">
        <v>313</v>
      </c>
      <c r="AO116" s="350" t="s">
        <v>313</v>
      </c>
      <c r="AP116" s="639">
        <f t="shared" si="17"/>
        <v>-0.17105011649490387</v>
      </c>
    </row>
    <row r="117" spans="1:42" x14ac:dyDescent="0.2">
      <c r="A117" s="638">
        <v>42430</v>
      </c>
      <c r="B117" s="341" t="s">
        <v>133</v>
      </c>
      <c r="C117" s="351" t="s">
        <v>176</v>
      </c>
      <c r="D117" s="342">
        <v>0</v>
      </c>
      <c r="E117" s="342">
        <v>0</v>
      </c>
      <c r="F117" s="342">
        <v>0</v>
      </c>
      <c r="G117" s="342">
        <v>0</v>
      </c>
      <c r="H117" s="342">
        <v>0</v>
      </c>
      <c r="I117" s="342">
        <v>0</v>
      </c>
      <c r="J117" s="342">
        <v>0</v>
      </c>
      <c r="K117" s="343">
        <v>0</v>
      </c>
      <c r="L117" s="342">
        <v>0</v>
      </c>
      <c r="M117" s="342">
        <v>0</v>
      </c>
      <c r="N117" s="354">
        <v>0</v>
      </c>
      <c r="O117" s="343" t="s">
        <v>311</v>
      </c>
      <c r="P117" s="343" t="s">
        <v>311</v>
      </c>
      <c r="Q117" s="343" t="s">
        <v>311</v>
      </c>
      <c r="R117" s="344" t="s">
        <v>312</v>
      </c>
      <c r="S117" s="344" t="s">
        <v>312</v>
      </c>
      <c r="T117" s="343">
        <v>538.66</v>
      </c>
      <c r="U117" s="342">
        <v>0</v>
      </c>
      <c r="V117" s="342">
        <v>0</v>
      </c>
      <c r="W117" s="344" t="str">
        <f t="shared" si="18"/>
        <v>0.00%</v>
      </c>
      <c r="X117" s="342">
        <v>0</v>
      </c>
      <c r="Y117" s="344" t="str">
        <f t="shared" si="19"/>
        <v>0.00%</v>
      </c>
      <c r="Z117" s="342">
        <v>0</v>
      </c>
      <c r="AA117" s="344">
        <f t="shared" si="11"/>
        <v>0</v>
      </c>
      <c r="AB117" s="342">
        <v>0</v>
      </c>
      <c r="AC117" s="344" t="str">
        <f t="shared" si="12"/>
        <v>0.00%</v>
      </c>
      <c r="AD117" s="342">
        <v>538.66</v>
      </c>
      <c r="AE117" s="342">
        <v>0</v>
      </c>
      <c r="AF117" s="344">
        <f t="shared" si="13"/>
        <v>0</v>
      </c>
      <c r="AG117" s="342">
        <v>0</v>
      </c>
      <c r="AH117" s="344">
        <f t="shared" si="14"/>
        <v>0</v>
      </c>
      <c r="AI117" s="342">
        <v>0</v>
      </c>
      <c r="AJ117" s="344">
        <f t="shared" si="15"/>
        <v>0</v>
      </c>
      <c r="AK117" s="342">
        <v>538.66</v>
      </c>
      <c r="AL117" s="784">
        <f t="shared" si="16"/>
        <v>1</v>
      </c>
      <c r="AM117" s="350" t="s">
        <v>313</v>
      </c>
      <c r="AN117" s="350" t="s">
        <v>313</v>
      </c>
      <c r="AO117" s="350" t="s">
        <v>313</v>
      </c>
      <c r="AP117" s="639" t="str">
        <f t="shared" si="17"/>
        <v>0.00%</v>
      </c>
    </row>
    <row r="118" spans="1:42" x14ac:dyDescent="0.2">
      <c r="A118" s="638">
        <v>42430</v>
      </c>
      <c r="B118" s="341" t="s">
        <v>133</v>
      </c>
      <c r="C118" s="351" t="s">
        <v>177</v>
      </c>
      <c r="D118" s="342">
        <v>173658.78000055099</v>
      </c>
      <c r="E118" s="342">
        <v>9523</v>
      </c>
      <c r="F118" s="342">
        <v>164135.78000055099</v>
      </c>
      <c r="G118" s="342">
        <v>112573.499837041</v>
      </c>
      <c r="H118" s="342">
        <v>49552.999846696897</v>
      </c>
      <c r="I118" s="342">
        <v>63020.499990343997</v>
      </c>
      <c r="J118" s="342">
        <v>2359.0999942794401</v>
      </c>
      <c r="K118" s="343">
        <v>110214.39984276146</v>
      </c>
      <c r="L118" s="342">
        <v>45819.380048036597</v>
      </c>
      <c r="M118" s="342">
        <v>1293</v>
      </c>
      <c r="N118" s="354">
        <v>915</v>
      </c>
      <c r="O118" s="343">
        <v>189.79101639404479</v>
      </c>
      <c r="P118" s="343">
        <v>138.30207645083539</v>
      </c>
      <c r="Q118" s="343">
        <v>123.03114736288623</v>
      </c>
      <c r="R118" s="344">
        <v>0.64824536851337844</v>
      </c>
      <c r="S118" s="344">
        <v>0.90648157963737153</v>
      </c>
      <c r="T118" s="343">
        <v>274755.15999999997</v>
      </c>
      <c r="U118" s="342">
        <v>132648.35999999999</v>
      </c>
      <c r="V118" s="342">
        <v>3996.51</v>
      </c>
      <c r="W118" s="344">
        <f t="shared" si="18"/>
        <v>3.0128604680826815E-2</v>
      </c>
      <c r="X118" s="342">
        <v>2219.48</v>
      </c>
      <c r="Y118" s="344">
        <f t="shared" si="19"/>
        <v>1.6732057599505943E-2</v>
      </c>
      <c r="Z118" s="342">
        <v>4511.88</v>
      </c>
      <c r="AA118" s="344">
        <f t="shared" si="11"/>
        <v>3.4013839296618525E-2</v>
      </c>
      <c r="AB118" s="342">
        <v>14595.88</v>
      </c>
      <c r="AC118" s="344">
        <f t="shared" si="12"/>
        <v>0.11003437961841368</v>
      </c>
      <c r="AD118" s="342">
        <v>142106.79999999999</v>
      </c>
      <c r="AE118" s="342">
        <v>2552.7399999999998</v>
      </c>
      <c r="AF118" s="344">
        <f t="shared" si="13"/>
        <v>1.7963531653657671E-2</v>
      </c>
      <c r="AG118" s="342">
        <v>2877.65</v>
      </c>
      <c r="AH118" s="344">
        <f t="shared" si="14"/>
        <v>2.0249910630596144E-2</v>
      </c>
      <c r="AI118" s="342">
        <v>4644.87</v>
      </c>
      <c r="AJ118" s="344">
        <f t="shared" si="15"/>
        <v>3.2685768731686313E-2</v>
      </c>
      <c r="AK118" s="342">
        <v>118871.96</v>
      </c>
      <c r="AL118" s="784">
        <f t="shared" si="16"/>
        <v>0.83649733862137499</v>
      </c>
      <c r="AM118" s="350">
        <f>IFERROR(T118/(D118+D68+D18)*90,"0.00")</f>
        <v>53.530108575494459</v>
      </c>
      <c r="AN118" s="350">
        <f>IFERROR(U118/(F118+F68+F18)*90,"0.00")</f>
        <v>27.483978646379679</v>
      </c>
      <c r="AO118" s="350">
        <f>IFERROR(AD118/(E118+E68+E18)*90,"0.00")</f>
        <v>463.89597388465722</v>
      </c>
      <c r="AP118" s="639">
        <f t="shared" si="17"/>
        <v>1.8642173899571027E-2</v>
      </c>
    </row>
    <row r="119" spans="1:42" x14ac:dyDescent="0.2">
      <c r="A119" s="638">
        <v>42430</v>
      </c>
      <c r="B119" s="341" t="s">
        <v>134</v>
      </c>
      <c r="C119" s="351" t="s">
        <v>178</v>
      </c>
      <c r="D119" s="342">
        <v>565151.54054832098</v>
      </c>
      <c r="E119" s="342">
        <v>12869</v>
      </c>
      <c r="F119" s="342">
        <v>552282.54054832098</v>
      </c>
      <c r="G119" s="342">
        <v>333569.44062000921</v>
      </c>
      <c r="H119" s="342">
        <v>200766.36057877948</v>
      </c>
      <c r="I119" s="342">
        <v>132803.0800412297</v>
      </c>
      <c r="J119" s="342">
        <v>7123.3500047922143</v>
      </c>
      <c r="K119" s="343">
        <v>326446.09061521699</v>
      </c>
      <c r="L119" s="342">
        <v>127601.18923318011</v>
      </c>
      <c r="M119" s="342">
        <v>15759.050017699599</v>
      </c>
      <c r="N119" s="354">
        <v>2921</v>
      </c>
      <c r="O119" s="343">
        <v>193.4787882739887</v>
      </c>
      <c r="P119" s="343">
        <v>144.39962386081521</v>
      </c>
      <c r="Q119" s="343">
        <v>114.19700123930475</v>
      </c>
      <c r="R119" s="344">
        <v>0.59023008288427148</v>
      </c>
      <c r="S119" s="344">
        <v>0.80442541937511558</v>
      </c>
      <c r="T119" s="343">
        <v>705912.97</v>
      </c>
      <c r="U119" s="342">
        <v>632791.89</v>
      </c>
      <c r="V119" s="342">
        <v>27580.32</v>
      </c>
      <c r="W119" s="344">
        <f t="shared" si="18"/>
        <v>4.3585135074977022E-2</v>
      </c>
      <c r="X119" s="342">
        <v>14075.99</v>
      </c>
      <c r="Y119" s="344">
        <f t="shared" si="19"/>
        <v>2.2244264224056346E-2</v>
      </c>
      <c r="Z119" s="342">
        <v>7382.26</v>
      </c>
      <c r="AA119" s="344">
        <f t="shared" si="11"/>
        <v>1.1666173534556519E-2</v>
      </c>
      <c r="AB119" s="342">
        <v>5591.98</v>
      </c>
      <c r="AC119" s="344">
        <f t="shared" si="12"/>
        <v>8.8369969469741464E-3</v>
      </c>
      <c r="AD119" s="342">
        <v>73121.08</v>
      </c>
      <c r="AE119" s="342">
        <v>10949.1</v>
      </c>
      <c r="AF119" s="344">
        <f t="shared" si="13"/>
        <v>0.14973930910210845</v>
      </c>
      <c r="AG119" s="342">
        <v>8474.4</v>
      </c>
      <c r="AH119" s="344">
        <f t="shared" si="14"/>
        <v>0.11589544355745292</v>
      </c>
      <c r="AI119" s="342">
        <v>8541.08</v>
      </c>
      <c r="AJ119" s="344">
        <f t="shared" si="15"/>
        <v>0.11680735569004178</v>
      </c>
      <c r="AK119" s="342">
        <v>5808.88</v>
      </c>
      <c r="AL119" s="784">
        <f t="shared" si="16"/>
        <v>7.9441933844521986E-2</v>
      </c>
      <c r="AM119" s="350">
        <f>IFERROR(T119/(D119+D69+D19)*90,"0.00")</f>
        <v>44.645821984774003</v>
      </c>
      <c r="AN119" s="350">
        <f>IFERROR(U119/(F119+F69+F19)*90,"0.00")</f>
        <v>41.123508822798499</v>
      </c>
      <c r="AO119" s="350">
        <f>IFERROR(AD119/(E119+E69+E19)*90,"0.00")</f>
        <v>172.53445565825621</v>
      </c>
      <c r="AP119" s="639">
        <f t="shared" si="17"/>
        <v>1.6888328381549359E-2</v>
      </c>
    </row>
    <row r="120" spans="1:42" x14ac:dyDescent="0.2">
      <c r="A120" s="638">
        <v>42430</v>
      </c>
      <c r="B120" s="341" t="s">
        <v>135</v>
      </c>
      <c r="C120" s="351" t="s">
        <v>180</v>
      </c>
      <c r="D120" s="342">
        <v>0</v>
      </c>
      <c r="E120" s="342">
        <v>0</v>
      </c>
      <c r="F120" s="342">
        <v>0</v>
      </c>
      <c r="G120" s="342">
        <v>75</v>
      </c>
      <c r="H120" s="342">
        <v>0</v>
      </c>
      <c r="I120" s="342">
        <v>75</v>
      </c>
      <c r="J120" s="342">
        <v>0</v>
      </c>
      <c r="K120" s="343">
        <v>75</v>
      </c>
      <c r="L120" s="342">
        <v>0</v>
      </c>
      <c r="M120" s="342">
        <v>0</v>
      </c>
      <c r="N120" s="354">
        <v>0</v>
      </c>
      <c r="O120" s="343" t="s">
        <v>311</v>
      </c>
      <c r="P120" s="343" t="s">
        <v>311</v>
      </c>
      <c r="Q120" s="343" t="s">
        <v>311</v>
      </c>
      <c r="R120" s="344" t="s">
        <v>312</v>
      </c>
      <c r="S120" s="344" t="s">
        <v>312</v>
      </c>
      <c r="T120" s="343">
        <v>1834.68</v>
      </c>
      <c r="U120" s="342">
        <v>-125.21</v>
      </c>
      <c r="V120" s="342">
        <v>0</v>
      </c>
      <c r="W120" s="344">
        <v>0</v>
      </c>
      <c r="X120" s="342">
        <v>0</v>
      </c>
      <c r="Y120" s="344">
        <f t="shared" si="19"/>
        <v>0</v>
      </c>
      <c r="Z120" s="342">
        <v>0</v>
      </c>
      <c r="AA120" s="344">
        <f t="shared" si="11"/>
        <v>0</v>
      </c>
      <c r="AB120" s="342">
        <v>-125.21</v>
      </c>
      <c r="AC120" s="344">
        <v>0</v>
      </c>
      <c r="AD120" s="342">
        <v>1959.89</v>
      </c>
      <c r="AE120" s="342">
        <v>0</v>
      </c>
      <c r="AF120" s="344">
        <f t="shared" si="13"/>
        <v>0</v>
      </c>
      <c r="AG120" s="342">
        <v>0</v>
      </c>
      <c r="AH120" s="344">
        <f t="shared" si="14"/>
        <v>0</v>
      </c>
      <c r="AI120" s="342">
        <v>0</v>
      </c>
      <c r="AJ120" s="344">
        <f t="shared" si="15"/>
        <v>0</v>
      </c>
      <c r="AK120" s="342">
        <v>1959.89</v>
      </c>
      <c r="AL120" s="784">
        <f t="shared" si="16"/>
        <v>1</v>
      </c>
      <c r="AM120" s="350" t="s">
        <v>313</v>
      </c>
      <c r="AN120" s="350" t="s">
        <v>313</v>
      </c>
      <c r="AO120" s="350" t="s">
        <v>313</v>
      </c>
      <c r="AP120" s="639" t="str">
        <f t="shared" si="17"/>
        <v>0.00%</v>
      </c>
    </row>
    <row r="121" spans="1:42" x14ac:dyDescent="0.2">
      <c r="A121" s="638">
        <v>42430</v>
      </c>
      <c r="B121" s="341" t="s">
        <v>135</v>
      </c>
      <c r="C121" s="351" t="s">
        <v>181</v>
      </c>
      <c r="D121" s="342">
        <v>109577.169999996</v>
      </c>
      <c r="E121" s="342">
        <v>7597</v>
      </c>
      <c r="F121" s="342">
        <v>101980.169999996</v>
      </c>
      <c r="G121" s="342">
        <v>71527.2402026653</v>
      </c>
      <c r="H121" s="342">
        <v>34122.490176200903</v>
      </c>
      <c r="I121" s="342">
        <v>37404.750026464499</v>
      </c>
      <c r="J121" s="342">
        <v>2016.3700094223</v>
      </c>
      <c r="K121" s="343">
        <v>69510.870193243099</v>
      </c>
      <c r="L121" s="342">
        <v>34583.569716453603</v>
      </c>
      <c r="M121" s="342">
        <v>1026.5500030517601</v>
      </c>
      <c r="N121" s="354">
        <v>909</v>
      </c>
      <c r="O121" s="343">
        <v>120.54694169416501</v>
      </c>
      <c r="P121" s="343">
        <v>81.371892497789474</v>
      </c>
      <c r="Q121" s="343">
        <v>78.687833006232566</v>
      </c>
      <c r="R121" s="344">
        <v>0.65275677591115022</v>
      </c>
      <c r="S121" s="344">
        <v>0.99411485663780175</v>
      </c>
      <c r="T121" s="343">
        <v>165869.45000000001</v>
      </c>
      <c r="U121" s="342">
        <v>83146.720000000001</v>
      </c>
      <c r="V121" s="342">
        <v>3287.68</v>
      </c>
      <c r="W121" s="344">
        <f t="shared" si="18"/>
        <v>3.9540705875108481E-2</v>
      </c>
      <c r="X121" s="342">
        <v>2841</v>
      </c>
      <c r="Y121" s="344">
        <f t="shared" si="19"/>
        <v>3.4168515607109935E-2</v>
      </c>
      <c r="Z121" s="342">
        <v>1973</v>
      </c>
      <c r="AA121" s="344">
        <f t="shared" si="11"/>
        <v>2.3729138082656778E-2</v>
      </c>
      <c r="AB121" s="342">
        <v>6155.12</v>
      </c>
      <c r="AC121" s="344">
        <f t="shared" si="12"/>
        <v>7.4027213581004753E-2</v>
      </c>
      <c r="AD121" s="342">
        <v>82722.73</v>
      </c>
      <c r="AE121" s="342">
        <v>3409.06</v>
      </c>
      <c r="AF121" s="344">
        <f t="shared" si="13"/>
        <v>4.1210680546930695E-2</v>
      </c>
      <c r="AG121" s="342">
        <v>2244.94</v>
      </c>
      <c r="AH121" s="344">
        <f t="shared" si="14"/>
        <v>2.7138127573884473E-2</v>
      </c>
      <c r="AI121" s="342">
        <v>2155.8200000000002</v>
      </c>
      <c r="AJ121" s="344">
        <f t="shared" si="15"/>
        <v>2.6060793689956802E-2</v>
      </c>
      <c r="AK121" s="342">
        <v>59916.37</v>
      </c>
      <c r="AL121" s="784">
        <f t="shared" si="16"/>
        <v>0.72430358620901425</v>
      </c>
      <c r="AM121" s="350">
        <v>44.934304999374817</v>
      </c>
      <c r="AN121" s="350">
        <v>24.020051877184155</v>
      </c>
      <c r="AO121" s="350">
        <v>359.94225971765616</v>
      </c>
      <c r="AP121" s="639">
        <f t="shared" si="17"/>
        <v>2.7260381504683753E-2</v>
      </c>
    </row>
    <row r="122" spans="1:42" x14ac:dyDescent="0.2">
      <c r="A122" s="638">
        <v>42430</v>
      </c>
      <c r="B122" s="341" t="s">
        <v>135</v>
      </c>
      <c r="C122" s="351" t="s">
        <v>182</v>
      </c>
      <c r="D122" s="342">
        <v>0</v>
      </c>
      <c r="E122" s="342">
        <v>0</v>
      </c>
      <c r="F122" s="342">
        <v>0</v>
      </c>
      <c r="G122" s="342">
        <v>521.91000556945801</v>
      </c>
      <c r="H122" s="342">
        <v>314.22000122070301</v>
      </c>
      <c r="I122" s="342">
        <v>207.690004348755</v>
      </c>
      <c r="J122" s="342">
        <v>0</v>
      </c>
      <c r="K122" s="343">
        <v>521.91000556945801</v>
      </c>
      <c r="L122" s="342">
        <v>185.77999877929699</v>
      </c>
      <c r="M122" s="342">
        <v>7</v>
      </c>
      <c r="N122" s="354">
        <v>0</v>
      </c>
      <c r="O122" s="343" t="s">
        <v>311</v>
      </c>
      <c r="P122" s="343" t="s">
        <v>311</v>
      </c>
      <c r="Q122" s="343" t="s">
        <v>311</v>
      </c>
      <c r="R122" s="344" t="s">
        <v>312</v>
      </c>
      <c r="S122" s="344">
        <v>-2.7072829591982908</v>
      </c>
      <c r="T122" s="343">
        <v>6683.6100000000006</v>
      </c>
      <c r="U122" s="342">
        <v>424.01</v>
      </c>
      <c r="V122" s="342">
        <v>0</v>
      </c>
      <c r="W122" s="344">
        <f t="shared" si="18"/>
        <v>0</v>
      </c>
      <c r="X122" s="342">
        <v>348.42</v>
      </c>
      <c r="Y122" s="344">
        <f t="shared" si="19"/>
        <v>0.82172590269097434</v>
      </c>
      <c r="Z122" s="342">
        <v>0</v>
      </c>
      <c r="AA122" s="344">
        <f t="shared" si="11"/>
        <v>0</v>
      </c>
      <c r="AB122" s="342">
        <v>75.59</v>
      </c>
      <c r="AC122" s="344">
        <f t="shared" si="12"/>
        <v>0.17827409730902574</v>
      </c>
      <c r="AD122" s="342">
        <v>6259.6</v>
      </c>
      <c r="AE122" s="342">
        <v>0</v>
      </c>
      <c r="AF122" s="344">
        <f t="shared" si="13"/>
        <v>0</v>
      </c>
      <c r="AG122" s="342">
        <v>15.55</v>
      </c>
      <c r="AH122" s="344">
        <f t="shared" si="14"/>
        <v>2.4841842929260657E-3</v>
      </c>
      <c r="AI122" s="342">
        <v>5</v>
      </c>
      <c r="AJ122" s="344">
        <f t="shared" si="15"/>
        <v>7.9877308454214327E-4</v>
      </c>
      <c r="AK122" s="342">
        <v>6239.05</v>
      </c>
      <c r="AL122" s="784">
        <f t="shared" si="16"/>
        <v>0.9967170426225318</v>
      </c>
      <c r="AM122" s="350" t="s">
        <v>313</v>
      </c>
      <c r="AN122" s="350" t="s">
        <v>313</v>
      </c>
      <c r="AO122" s="350" t="s">
        <v>313</v>
      </c>
      <c r="AP122" s="639">
        <f t="shared" si="17"/>
        <v>0</v>
      </c>
    </row>
    <row r="123" spans="1:42" x14ac:dyDescent="0.2">
      <c r="A123" s="638">
        <v>42430</v>
      </c>
      <c r="B123" s="341" t="s">
        <v>135</v>
      </c>
      <c r="C123" s="351" t="s">
        <v>183</v>
      </c>
      <c r="D123" s="342">
        <v>223545.219999995</v>
      </c>
      <c r="E123" s="342">
        <v>15242</v>
      </c>
      <c r="F123" s="342">
        <v>208303.219999995</v>
      </c>
      <c r="G123" s="342">
        <v>143916.27075492599</v>
      </c>
      <c r="H123" s="342">
        <v>63318.680650822796</v>
      </c>
      <c r="I123" s="342">
        <v>80597.590104103103</v>
      </c>
      <c r="J123" s="342">
        <v>4839.8299948573103</v>
      </c>
      <c r="K123" s="343">
        <v>139076.4407600686</v>
      </c>
      <c r="L123" s="342">
        <v>72921.079180717497</v>
      </c>
      <c r="M123" s="342">
        <v>2863.9400024414099</v>
      </c>
      <c r="N123" s="354">
        <v>1188</v>
      </c>
      <c r="O123" s="343">
        <v>188.1693771043729</v>
      </c>
      <c r="P123" s="343">
        <v>124.37727341484519</v>
      </c>
      <c r="Q123" s="343">
        <v>121.14164204960093</v>
      </c>
      <c r="R123" s="344">
        <v>0.64379041857808061</v>
      </c>
      <c r="S123" s="344">
        <v>1.0069682154280695</v>
      </c>
      <c r="T123" s="343">
        <v>257262.59</v>
      </c>
      <c r="U123" s="342">
        <v>133141.4</v>
      </c>
      <c r="V123" s="342">
        <v>3816.5</v>
      </c>
      <c r="W123" s="344">
        <f t="shared" si="18"/>
        <v>2.8665013286626101E-2</v>
      </c>
      <c r="X123" s="342">
        <v>1524.04</v>
      </c>
      <c r="Y123" s="344">
        <f t="shared" si="19"/>
        <v>1.1446777636407609E-2</v>
      </c>
      <c r="Z123" s="342">
        <v>404.96</v>
      </c>
      <c r="AA123" s="344">
        <f t="shared" si="11"/>
        <v>3.0415783520377584E-3</v>
      </c>
      <c r="AB123" s="342">
        <v>10236.66</v>
      </c>
      <c r="AC123" s="344">
        <f t="shared" si="12"/>
        <v>7.6885626859864775E-2</v>
      </c>
      <c r="AD123" s="342">
        <v>124121.19</v>
      </c>
      <c r="AE123" s="342">
        <v>5950.3</v>
      </c>
      <c r="AF123" s="344">
        <f t="shared" si="13"/>
        <v>4.7939437254831345E-2</v>
      </c>
      <c r="AG123" s="342">
        <v>4142.45</v>
      </c>
      <c r="AH123" s="344">
        <f t="shared" si="14"/>
        <v>3.3374236905076397E-2</v>
      </c>
      <c r="AI123" s="342">
        <v>4423.58</v>
      </c>
      <c r="AJ123" s="344">
        <f t="shared" si="15"/>
        <v>3.5639200687650509E-2</v>
      </c>
      <c r="AK123" s="342">
        <v>85790.26</v>
      </c>
      <c r="AL123" s="784">
        <f t="shared" si="16"/>
        <v>0.69118141712950054</v>
      </c>
      <c r="AM123" s="350">
        <v>37.275032942172764</v>
      </c>
      <c r="AN123" s="350">
        <v>20.485091844220467</v>
      </c>
      <c r="AO123" s="350">
        <v>308.52041261599646</v>
      </c>
      <c r="AP123" s="639">
        <f t="shared" si="17"/>
        <v>3.2754625183927404E-2</v>
      </c>
    </row>
    <row r="124" spans="1:42" x14ac:dyDescent="0.2">
      <c r="A124" s="638">
        <v>42430</v>
      </c>
      <c r="B124" s="341" t="s">
        <v>135</v>
      </c>
      <c r="C124" s="351" t="s">
        <v>184</v>
      </c>
      <c r="D124" s="342">
        <v>0</v>
      </c>
      <c r="E124" s="342">
        <v>0</v>
      </c>
      <c r="F124" s="342">
        <v>0</v>
      </c>
      <c r="G124" s="342">
        <v>374.15000915527298</v>
      </c>
      <c r="H124" s="342">
        <v>0</v>
      </c>
      <c r="I124" s="342">
        <v>374.15000915527298</v>
      </c>
      <c r="J124" s="342">
        <v>0</v>
      </c>
      <c r="K124" s="343">
        <v>374.15000915527298</v>
      </c>
      <c r="L124" s="342">
        <v>0</v>
      </c>
      <c r="M124" s="342">
        <v>0</v>
      </c>
      <c r="N124" s="354">
        <v>0</v>
      </c>
      <c r="O124" s="343" t="s">
        <v>311</v>
      </c>
      <c r="P124" s="343" t="s">
        <v>311</v>
      </c>
      <c r="Q124" s="343" t="s">
        <v>311</v>
      </c>
      <c r="R124" s="344" t="s">
        <v>312</v>
      </c>
      <c r="S124" s="344" t="s">
        <v>312</v>
      </c>
      <c r="T124" s="343">
        <v>13212.07</v>
      </c>
      <c r="U124" s="342">
        <v>1737.11</v>
      </c>
      <c r="V124" s="342">
        <v>0</v>
      </c>
      <c r="W124" s="344">
        <f t="shared" si="18"/>
        <v>0</v>
      </c>
      <c r="X124" s="342">
        <v>0</v>
      </c>
      <c r="Y124" s="344">
        <f t="shared" si="19"/>
        <v>0</v>
      </c>
      <c r="Z124" s="342">
        <v>0</v>
      </c>
      <c r="AA124" s="344">
        <f t="shared" si="11"/>
        <v>0</v>
      </c>
      <c r="AB124" s="342">
        <v>1737.11</v>
      </c>
      <c r="AC124" s="344">
        <f t="shared" si="12"/>
        <v>1</v>
      </c>
      <c r="AD124" s="342">
        <v>11474.96</v>
      </c>
      <c r="AE124" s="342">
        <v>0</v>
      </c>
      <c r="AF124" s="344">
        <f t="shared" si="13"/>
        <v>0</v>
      </c>
      <c r="AG124" s="342">
        <v>0</v>
      </c>
      <c r="AH124" s="344">
        <f t="shared" si="14"/>
        <v>0</v>
      </c>
      <c r="AI124" s="342">
        <v>555.24</v>
      </c>
      <c r="AJ124" s="344">
        <f t="shared" si="15"/>
        <v>4.8387096774193554E-2</v>
      </c>
      <c r="AK124" s="342">
        <v>10919.72</v>
      </c>
      <c r="AL124" s="784">
        <f t="shared" si="16"/>
        <v>0.95161290322580649</v>
      </c>
      <c r="AM124" s="350" t="s">
        <v>313</v>
      </c>
      <c r="AN124" s="350" t="s">
        <v>313</v>
      </c>
      <c r="AO124" s="350" t="s">
        <v>313</v>
      </c>
      <c r="AP124" s="639" t="str">
        <f t="shared" si="17"/>
        <v>0.00%</v>
      </c>
    </row>
    <row r="125" spans="1:42" x14ac:dyDescent="0.2">
      <c r="A125" s="638">
        <v>42430</v>
      </c>
      <c r="B125" s="341" t="s">
        <v>135</v>
      </c>
      <c r="C125" s="351" t="s">
        <v>185</v>
      </c>
      <c r="D125" s="342">
        <v>139420.149999997</v>
      </c>
      <c r="E125" s="342">
        <v>8063</v>
      </c>
      <c r="F125" s="342">
        <v>131357.149999997</v>
      </c>
      <c r="G125" s="342">
        <v>86676.460347354398</v>
      </c>
      <c r="H125" s="342">
        <v>40100.830282747702</v>
      </c>
      <c r="I125" s="342">
        <v>46575.630064606703</v>
      </c>
      <c r="J125" s="342">
        <v>3153.2899977713801</v>
      </c>
      <c r="K125" s="343">
        <v>83523.17034958303</v>
      </c>
      <c r="L125" s="342">
        <v>47913.769474983201</v>
      </c>
      <c r="M125" s="342">
        <v>1637.0900020599399</v>
      </c>
      <c r="N125" s="354">
        <v>754</v>
      </c>
      <c r="O125" s="343">
        <v>184.9073607427016</v>
      </c>
      <c r="P125" s="343">
        <v>119.19004048137117</v>
      </c>
      <c r="Q125" s="343">
        <v>114.95551770206156</v>
      </c>
      <c r="R125" s="344">
        <v>0.62169249098753865</v>
      </c>
      <c r="S125" s="344">
        <v>0.9995440267356821</v>
      </c>
      <c r="T125" s="343">
        <v>178895.09</v>
      </c>
      <c r="U125" s="342">
        <v>94912.76</v>
      </c>
      <c r="V125" s="342">
        <v>3348.24</v>
      </c>
      <c r="W125" s="344">
        <f t="shared" si="18"/>
        <v>3.5277027029874591E-2</v>
      </c>
      <c r="X125" s="342">
        <v>2498.9699999999998</v>
      </c>
      <c r="Y125" s="344">
        <f t="shared" si="19"/>
        <v>2.6329125820384949E-2</v>
      </c>
      <c r="Z125" s="342">
        <v>1950.85</v>
      </c>
      <c r="AA125" s="344">
        <f t="shared" si="11"/>
        <v>2.0554138347678438E-2</v>
      </c>
      <c r="AB125" s="342">
        <v>6618.57</v>
      </c>
      <c r="AC125" s="344">
        <f t="shared" si="12"/>
        <v>6.9733194988745459E-2</v>
      </c>
      <c r="AD125" s="342">
        <v>83982.33</v>
      </c>
      <c r="AE125" s="342">
        <v>4733.8100000000004</v>
      </c>
      <c r="AF125" s="344">
        <f t="shared" si="13"/>
        <v>5.6366738098359501E-2</v>
      </c>
      <c r="AG125" s="342">
        <v>1826.43</v>
      </c>
      <c r="AH125" s="344">
        <f t="shared" si="14"/>
        <v>2.1747789088490399E-2</v>
      </c>
      <c r="AI125" s="342">
        <v>1987.7</v>
      </c>
      <c r="AJ125" s="344">
        <f t="shared" si="15"/>
        <v>2.3668073986515974E-2</v>
      </c>
      <c r="AK125" s="342">
        <v>59170.68</v>
      </c>
      <c r="AL125" s="784">
        <f t="shared" si="16"/>
        <v>0.70456106659579465</v>
      </c>
      <c r="AM125" s="350">
        <v>40.184978522164023</v>
      </c>
      <c r="AN125" s="350">
        <v>22.349118403842073</v>
      </c>
      <c r="AO125" s="350">
        <v>409.73652626443322</v>
      </c>
      <c r="AP125" s="639">
        <f t="shared" si="17"/>
        <v>3.5087514093215033E-2</v>
      </c>
    </row>
    <row r="126" spans="1:42" x14ac:dyDescent="0.2">
      <c r="A126" s="638">
        <v>42430</v>
      </c>
      <c r="B126" s="341" t="s">
        <v>135</v>
      </c>
      <c r="C126" s="351" t="s">
        <v>179</v>
      </c>
      <c r="D126" s="342">
        <v>93352.509999999806</v>
      </c>
      <c r="E126" s="342">
        <v>8316</v>
      </c>
      <c r="F126" s="342">
        <v>85036.509999999806</v>
      </c>
      <c r="G126" s="342">
        <v>55349.210260868102</v>
      </c>
      <c r="H126" s="342">
        <v>22784.780213832899</v>
      </c>
      <c r="I126" s="342">
        <v>32564.430047035199</v>
      </c>
      <c r="J126" s="342">
        <v>1498.7199940681501</v>
      </c>
      <c r="K126" s="343">
        <v>53850.490266799949</v>
      </c>
      <c r="L126" s="342">
        <v>27829.419734954801</v>
      </c>
      <c r="M126" s="342">
        <v>1195.1799926757801</v>
      </c>
      <c r="N126" s="354">
        <v>516</v>
      </c>
      <c r="O126" s="343">
        <v>180.91571705426318</v>
      </c>
      <c r="P126" s="343">
        <v>124.66649277590933</v>
      </c>
      <c r="Q126" s="343">
        <v>107.26591135827151</v>
      </c>
      <c r="R126" s="344">
        <v>0.59290543190395439</v>
      </c>
      <c r="S126" s="344">
        <v>0.880947375188181</v>
      </c>
      <c r="T126" s="343">
        <v>89317.459999999992</v>
      </c>
      <c r="U126" s="342">
        <v>56240.02</v>
      </c>
      <c r="V126" s="342">
        <v>1618</v>
      </c>
      <c r="W126" s="344">
        <f t="shared" si="18"/>
        <v>2.8769548801725178E-2</v>
      </c>
      <c r="X126" s="342">
        <v>553</v>
      </c>
      <c r="Y126" s="344">
        <f t="shared" si="19"/>
        <v>9.8328556782163318E-3</v>
      </c>
      <c r="Z126" s="342">
        <v>-115.19</v>
      </c>
      <c r="AA126" s="344">
        <v>0</v>
      </c>
      <c r="AB126" s="342">
        <v>3249.88</v>
      </c>
      <c r="AC126" s="344">
        <f t="shared" si="12"/>
        <v>5.7785896946693838E-2</v>
      </c>
      <c r="AD126" s="342">
        <v>33077.440000000002</v>
      </c>
      <c r="AE126" s="342">
        <v>1301.25</v>
      </c>
      <c r="AF126" s="344">
        <f t="shared" si="13"/>
        <v>3.9339501485000046E-2</v>
      </c>
      <c r="AG126" s="342">
        <v>1833.35</v>
      </c>
      <c r="AH126" s="344">
        <f t="shared" si="14"/>
        <v>5.5425994272833685E-2</v>
      </c>
      <c r="AI126" s="342">
        <v>1943.29</v>
      </c>
      <c r="AJ126" s="344">
        <f t="shared" si="15"/>
        <v>5.8749709771977514E-2</v>
      </c>
      <c r="AK126" s="342">
        <v>18081.150000000001</v>
      </c>
      <c r="AL126" s="784">
        <f t="shared" si="16"/>
        <v>0.54663087590817183</v>
      </c>
      <c r="AM126" s="350">
        <v>32.254862712981648</v>
      </c>
      <c r="AN126" s="350">
        <v>21.965568800935465</v>
      </c>
      <c r="AO126" s="350">
        <v>158.45901953478469</v>
      </c>
      <c r="AP126" s="639">
        <f t="shared" si="17"/>
        <v>2.3298129656667794E-2</v>
      </c>
    </row>
    <row r="127" spans="1:42" x14ac:dyDescent="0.2">
      <c r="A127" s="638">
        <v>42430</v>
      </c>
      <c r="B127" s="341" t="s">
        <v>135</v>
      </c>
      <c r="C127" s="351" t="s">
        <v>186</v>
      </c>
      <c r="D127" s="342">
        <v>72286.069999998406</v>
      </c>
      <c r="E127" s="342">
        <v>5775</v>
      </c>
      <c r="F127" s="342">
        <v>66511.069999998406</v>
      </c>
      <c r="G127" s="342">
        <v>41873.150196552298</v>
      </c>
      <c r="H127" s="342">
        <v>19932.1601843834</v>
      </c>
      <c r="I127" s="342">
        <v>21940.990012168899</v>
      </c>
      <c r="J127" s="342">
        <v>1008.57999897003</v>
      </c>
      <c r="K127" s="343">
        <v>40864.570197582267</v>
      </c>
      <c r="L127" s="342">
        <v>21329.499773025502</v>
      </c>
      <c r="M127" s="342">
        <v>1221</v>
      </c>
      <c r="N127" s="354">
        <v>430</v>
      </c>
      <c r="O127" s="343">
        <v>168.10713953488002</v>
      </c>
      <c r="P127" s="343">
        <v>115.66411680691374</v>
      </c>
      <c r="Q127" s="343">
        <v>97.37941906174953</v>
      </c>
      <c r="R127" s="344">
        <v>0.57926997824827409</v>
      </c>
      <c r="S127" s="344">
        <v>0.85934201970242463</v>
      </c>
      <c r="T127" s="343">
        <v>49212.99</v>
      </c>
      <c r="U127" s="342">
        <v>44316.18</v>
      </c>
      <c r="V127" s="342">
        <v>364</v>
      </c>
      <c r="W127" s="344">
        <f t="shared" si="18"/>
        <v>8.2137043400401389E-3</v>
      </c>
      <c r="X127" s="342">
        <v>0</v>
      </c>
      <c r="Y127" s="344">
        <f t="shared" si="19"/>
        <v>0</v>
      </c>
      <c r="Z127" s="342">
        <v>0</v>
      </c>
      <c r="AA127" s="344">
        <f t="shared" si="11"/>
        <v>0</v>
      </c>
      <c r="AB127" s="342">
        <v>0</v>
      </c>
      <c r="AC127" s="344">
        <f t="shared" si="12"/>
        <v>0</v>
      </c>
      <c r="AD127" s="342">
        <v>4896.8100000000004</v>
      </c>
      <c r="AE127" s="342">
        <v>385.4</v>
      </c>
      <c r="AF127" s="344">
        <f t="shared" si="13"/>
        <v>7.8704299329563521E-2</v>
      </c>
      <c r="AG127" s="342">
        <v>0</v>
      </c>
      <c r="AH127" s="344">
        <f t="shared" si="14"/>
        <v>0</v>
      </c>
      <c r="AI127" s="342">
        <v>0</v>
      </c>
      <c r="AJ127" s="344">
        <f t="shared" si="15"/>
        <v>0</v>
      </c>
      <c r="AK127" s="342">
        <v>0</v>
      </c>
      <c r="AL127" s="784">
        <f t="shared" si="16"/>
        <v>0</v>
      </c>
      <c r="AM127" s="350">
        <v>23.790462317137376</v>
      </c>
      <c r="AN127" s="350">
        <v>23.231224133246702</v>
      </c>
      <c r="AO127" s="350">
        <v>30.417068120643247</v>
      </c>
      <c r="AP127" s="639">
        <f t="shared" si="17"/>
        <v>2.0278846595450324E-2</v>
      </c>
    </row>
    <row r="128" spans="1:42" x14ac:dyDescent="0.2">
      <c r="A128" s="638">
        <v>42430</v>
      </c>
      <c r="B128" s="341" t="s">
        <v>135</v>
      </c>
      <c r="C128" s="351" t="s">
        <v>187</v>
      </c>
      <c r="D128" s="342">
        <v>87950.539999999106</v>
      </c>
      <c r="E128" s="342">
        <v>6095</v>
      </c>
      <c r="F128" s="342">
        <v>81855.539999999106</v>
      </c>
      <c r="G128" s="342">
        <v>56311.820248603799</v>
      </c>
      <c r="H128" s="342">
        <v>25362.910181045499</v>
      </c>
      <c r="I128" s="342">
        <v>30948.910067558299</v>
      </c>
      <c r="J128" s="342">
        <v>1429.32999181747</v>
      </c>
      <c r="K128" s="343">
        <v>54882.490256786332</v>
      </c>
      <c r="L128" s="342">
        <v>28868.5997247696</v>
      </c>
      <c r="M128" s="342">
        <v>880</v>
      </c>
      <c r="N128" s="354">
        <v>514</v>
      </c>
      <c r="O128" s="343">
        <v>171.10999999999825</v>
      </c>
      <c r="P128" s="343">
        <v>113.23334683896792</v>
      </c>
      <c r="Q128" s="343">
        <v>109.55607052257548</v>
      </c>
      <c r="R128" s="344">
        <v>0.64026690738458647</v>
      </c>
      <c r="S128" s="344">
        <v>0.99188358554401579</v>
      </c>
      <c r="T128" s="343">
        <v>74958.25</v>
      </c>
      <c r="U128" s="342">
        <v>56711.03</v>
      </c>
      <c r="V128" s="342">
        <v>1654.1</v>
      </c>
      <c r="W128" s="344">
        <f t="shared" si="18"/>
        <v>2.9167165540812782E-2</v>
      </c>
      <c r="X128" s="342">
        <v>898.3</v>
      </c>
      <c r="Y128" s="344">
        <f t="shared" si="19"/>
        <v>1.5839952122188576E-2</v>
      </c>
      <c r="Z128" s="342">
        <v>44.57</v>
      </c>
      <c r="AA128" s="344">
        <f t="shared" si="11"/>
        <v>7.8591413345869404E-4</v>
      </c>
      <c r="AB128" s="342">
        <v>2208.25</v>
      </c>
      <c r="AC128" s="344">
        <f t="shared" si="12"/>
        <v>3.8938633278217658E-2</v>
      </c>
      <c r="AD128" s="342">
        <v>18247.22</v>
      </c>
      <c r="AE128" s="342">
        <v>1037.8499999999999</v>
      </c>
      <c r="AF128" s="344">
        <f t="shared" si="13"/>
        <v>5.6877157177915312E-2</v>
      </c>
      <c r="AG128" s="342">
        <v>1152.8499999999999</v>
      </c>
      <c r="AH128" s="344">
        <f t="shared" si="14"/>
        <v>6.3179487067071036E-2</v>
      </c>
      <c r="AI128" s="342">
        <v>868.17</v>
      </c>
      <c r="AJ128" s="344">
        <f t="shared" si="15"/>
        <v>4.7578206433637554E-2</v>
      </c>
      <c r="AK128" s="342">
        <v>5030.32</v>
      </c>
      <c r="AL128" s="784">
        <f t="shared" si="16"/>
        <v>0.27567596598276339</v>
      </c>
      <c r="AM128" s="350">
        <v>25.181517087392542</v>
      </c>
      <c r="AN128" s="350">
        <v>20.10233180682183</v>
      </c>
      <c r="AO128" s="350">
        <v>117.27005141388175</v>
      </c>
      <c r="AP128" s="639">
        <f t="shared" si="17"/>
        <v>2.4558115847312854E-2</v>
      </c>
    </row>
    <row r="129" spans="1:42" x14ac:dyDescent="0.2">
      <c r="A129" s="638">
        <v>42430</v>
      </c>
      <c r="B129" s="341" t="s">
        <v>135</v>
      </c>
      <c r="C129" s="351" t="s">
        <v>188</v>
      </c>
      <c r="D129" s="342">
        <v>112179.5</v>
      </c>
      <c r="E129" s="342">
        <v>7486</v>
      </c>
      <c r="F129" s="342">
        <v>104693.5</v>
      </c>
      <c r="G129" s="342">
        <v>67764.530340194702</v>
      </c>
      <c r="H129" s="342">
        <v>31202.720286369298</v>
      </c>
      <c r="I129" s="342">
        <v>36561.8100538254</v>
      </c>
      <c r="J129" s="342">
        <v>1787.4600026011501</v>
      </c>
      <c r="K129" s="343">
        <v>65977.070337593555</v>
      </c>
      <c r="L129" s="342">
        <v>34380.419621944398</v>
      </c>
      <c r="M129" s="342">
        <v>958.93999958038296</v>
      </c>
      <c r="N129" s="354">
        <v>733</v>
      </c>
      <c r="O129" s="343">
        <v>153.04160982264665</v>
      </c>
      <c r="P129" s="343">
        <v>104.82965945221721</v>
      </c>
      <c r="Q129" s="343">
        <v>92.448199645558944</v>
      </c>
      <c r="R129" s="344">
        <v>0.60407231571004238</v>
      </c>
      <c r="S129" s="344">
        <v>0.90289287472240409</v>
      </c>
      <c r="T129" s="343">
        <v>106016.99</v>
      </c>
      <c r="U129" s="342">
        <v>75421.25</v>
      </c>
      <c r="V129" s="342">
        <v>2029.5</v>
      </c>
      <c r="W129" s="344">
        <f t="shared" si="18"/>
        <v>2.6908861892371183E-2</v>
      </c>
      <c r="X129" s="342">
        <v>284.83999999999997</v>
      </c>
      <c r="Y129" s="344">
        <f t="shared" si="19"/>
        <v>3.7766544574639109E-3</v>
      </c>
      <c r="Z129" s="342">
        <v>1300.7</v>
      </c>
      <c r="AA129" s="344">
        <f t="shared" si="11"/>
        <v>1.7245802741269869E-2</v>
      </c>
      <c r="AB129" s="342">
        <v>4018.78</v>
      </c>
      <c r="AC129" s="344">
        <f t="shared" si="12"/>
        <v>5.3284452326101732E-2</v>
      </c>
      <c r="AD129" s="342">
        <v>30595.74</v>
      </c>
      <c r="AE129" s="342">
        <v>1818.35</v>
      </c>
      <c r="AF129" s="344">
        <f t="shared" si="13"/>
        <v>5.943147640815355E-2</v>
      </c>
      <c r="AG129" s="342">
        <v>1504.14</v>
      </c>
      <c r="AH129" s="344">
        <f t="shared" si="14"/>
        <v>4.9161746046998703E-2</v>
      </c>
      <c r="AI129" s="342">
        <v>2614.4</v>
      </c>
      <c r="AJ129" s="344">
        <f t="shared" si="15"/>
        <v>8.5449804449900538E-2</v>
      </c>
      <c r="AK129" s="342">
        <v>15860.32</v>
      </c>
      <c r="AL129" s="784">
        <f t="shared" si="16"/>
        <v>0.51838327819493824</v>
      </c>
      <c r="AM129" s="350">
        <v>31.119926466968941</v>
      </c>
      <c r="AN129" s="350">
        <v>23.473686671268222</v>
      </c>
      <c r="AO129" s="350">
        <v>157.94519903636572</v>
      </c>
      <c r="AP129" s="639">
        <f t="shared" si="17"/>
        <v>2.3262060607867667E-2</v>
      </c>
    </row>
    <row r="130" spans="1:42" x14ac:dyDescent="0.2">
      <c r="A130" s="638">
        <v>42430</v>
      </c>
      <c r="B130" s="341" t="s">
        <v>136</v>
      </c>
      <c r="C130" s="351" t="s">
        <v>189</v>
      </c>
      <c r="D130" s="342">
        <v>113312.729999958</v>
      </c>
      <c r="E130" s="342">
        <v>4969</v>
      </c>
      <c r="F130" s="342">
        <v>108343.729999958</v>
      </c>
      <c r="G130" s="342">
        <v>69632.939859822407</v>
      </c>
      <c r="H130" s="342">
        <v>31378.289883375201</v>
      </c>
      <c r="I130" s="342">
        <v>38254.649976447203</v>
      </c>
      <c r="J130" s="342">
        <v>1232.11000442505</v>
      </c>
      <c r="K130" s="343">
        <v>68400.829855397358</v>
      </c>
      <c r="L130" s="342">
        <v>32355.770187974002</v>
      </c>
      <c r="M130" s="342">
        <v>625.73999786376999</v>
      </c>
      <c r="N130" s="354">
        <v>585</v>
      </c>
      <c r="O130" s="343">
        <v>193.69697435890257</v>
      </c>
      <c r="P130" s="343">
        <v>137.31832446858158</v>
      </c>
      <c r="Q130" s="343">
        <v>119.03066642704685</v>
      </c>
      <c r="R130" s="344">
        <v>0.61452000900382697</v>
      </c>
      <c r="S130" s="344">
        <v>0.88032520248777191</v>
      </c>
      <c r="T130" s="343">
        <v>103254.62</v>
      </c>
      <c r="U130" s="342">
        <v>77674.2</v>
      </c>
      <c r="V130" s="342">
        <v>2417.75</v>
      </c>
      <c r="W130" s="344">
        <f t="shared" si="18"/>
        <v>3.1126809159283265E-2</v>
      </c>
      <c r="X130" s="342">
        <v>709.44</v>
      </c>
      <c r="Y130" s="344">
        <f t="shared" si="19"/>
        <v>9.1335346871934328E-3</v>
      </c>
      <c r="Z130" s="342">
        <v>660.54</v>
      </c>
      <c r="AA130" s="344">
        <f t="shared" ref="AA130:AA193" si="20">IFERROR(Z130/U130,"0.00"%)</f>
        <v>8.5039820171948985E-3</v>
      </c>
      <c r="AB130" s="342">
        <v>2217.35</v>
      </c>
      <c r="AC130" s="344">
        <f t="shared" ref="AC130:AC193" si="21">IFERROR(AB130/U130,"0.00%")</f>
        <v>2.8546801898184981E-2</v>
      </c>
      <c r="AD130" s="342">
        <v>25580.42</v>
      </c>
      <c r="AE130" s="342">
        <v>2706.3</v>
      </c>
      <c r="AF130" s="344">
        <f t="shared" ref="AF130:AF193" si="22">IFERROR(AE130/AD130,"0.00%")</f>
        <v>0.10579576097655943</v>
      </c>
      <c r="AG130" s="342">
        <v>2630.7</v>
      </c>
      <c r="AH130" s="344">
        <f t="shared" ref="AH130:AH193" si="23">IFERROR(AG130/AD130,"0.00%")</f>
        <v>0.10284037556850122</v>
      </c>
      <c r="AI130" s="342">
        <v>1405.35</v>
      </c>
      <c r="AJ130" s="344">
        <f t="shared" ref="AJ130:AJ193" si="24">IFERROR(AI130/AD130,"0.00"%)</f>
        <v>5.4938503746224651E-2</v>
      </c>
      <c r="AK130" s="342">
        <v>9580.8700000000008</v>
      </c>
      <c r="AL130" s="784">
        <f t="shared" ref="AL130:AL193" si="25">IFERROR(AK130/AD130,"0.00%")</f>
        <v>0.37453919833998039</v>
      </c>
      <c r="AM130" s="350">
        <v>29.866773634792168</v>
      </c>
      <c r="AN130" s="350">
        <v>23.714044904134564</v>
      </c>
      <c r="AO130" s="350">
        <v>140.76660348517271</v>
      </c>
      <c r="AP130" s="639">
        <f t="shared" ref="AP130:AP193" si="26">IFERROR(J130/(D130-L130-M130),"0.00%")</f>
        <v>1.5337872464479567E-2</v>
      </c>
    </row>
    <row r="131" spans="1:42" x14ac:dyDescent="0.2">
      <c r="A131" s="638">
        <v>42430</v>
      </c>
      <c r="B131" s="341" t="s">
        <v>136</v>
      </c>
      <c r="C131" s="351" t="s">
        <v>190</v>
      </c>
      <c r="D131" s="342">
        <v>172845.53000465001</v>
      </c>
      <c r="E131" s="342">
        <v>9946</v>
      </c>
      <c r="F131" s="342">
        <v>162899.53000465001</v>
      </c>
      <c r="G131" s="342">
        <v>116534.47977722999</v>
      </c>
      <c r="H131" s="342">
        <v>49584.089806942298</v>
      </c>
      <c r="I131" s="342">
        <v>66950.389970287695</v>
      </c>
      <c r="J131" s="342">
        <v>2724.4200063943899</v>
      </c>
      <c r="K131" s="343">
        <v>113810.05977083561</v>
      </c>
      <c r="L131" s="342">
        <v>51949.380221100502</v>
      </c>
      <c r="M131" s="342">
        <v>1377.3300075530999</v>
      </c>
      <c r="N131" s="354">
        <v>883</v>
      </c>
      <c r="O131" s="343">
        <v>195.74805210039639</v>
      </c>
      <c r="P131" s="343">
        <v>135.3554017848204</v>
      </c>
      <c r="Q131" s="343">
        <v>131.97562828678369</v>
      </c>
      <c r="R131" s="344">
        <v>0.67421170668454611</v>
      </c>
      <c r="S131" s="344">
        <v>0.99777455089555001</v>
      </c>
      <c r="T131" s="343">
        <v>183518.43</v>
      </c>
      <c r="U131" s="342">
        <v>110488.98</v>
      </c>
      <c r="V131" s="342">
        <v>2997.31</v>
      </c>
      <c r="W131" s="344">
        <f t="shared" ref="W131:W194" si="27">IFERROR(V131/U131,"0.00%")</f>
        <v>2.7127682778861746E-2</v>
      </c>
      <c r="X131" s="342">
        <v>416.57</v>
      </c>
      <c r="Y131" s="344">
        <f t="shared" ref="Y131:Y194" si="28">IFERROR(X131/U131,"0.00%")</f>
        <v>3.7702402538244088E-3</v>
      </c>
      <c r="Z131" s="342">
        <v>498.24</v>
      </c>
      <c r="AA131" s="344">
        <f t="shared" si="20"/>
        <v>4.5094089926434296E-3</v>
      </c>
      <c r="AB131" s="342">
        <v>5306.47</v>
      </c>
      <c r="AC131" s="344">
        <f t="shared" si="21"/>
        <v>4.8027142616394868E-2</v>
      </c>
      <c r="AD131" s="342">
        <v>73029.45</v>
      </c>
      <c r="AE131" s="342">
        <v>4474.47</v>
      </c>
      <c r="AF131" s="344">
        <f t="shared" si="22"/>
        <v>6.1269392005553931E-2</v>
      </c>
      <c r="AG131" s="342">
        <v>5950.99</v>
      </c>
      <c r="AH131" s="344">
        <f t="shared" si="23"/>
        <v>8.1487536877246095E-2</v>
      </c>
      <c r="AI131" s="342">
        <v>4065.25</v>
      </c>
      <c r="AJ131" s="344">
        <f t="shared" si="24"/>
        <v>5.566589916807535E-2</v>
      </c>
      <c r="AK131" s="342">
        <v>42093.59</v>
      </c>
      <c r="AL131" s="784">
        <f t="shared" si="25"/>
        <v>0.57639198980685191</v>
      </c>
      <c r="AM131" s="350">
        <v>31.698325920436844</v>
      </c>
      <c r="AN131" s="350">
        <v>20.168775434878345</v>
      </c>
      <c r="AO131" s="350">
        <v>234.58671211364123</v>
      </c>
      <c r="AP131" s="639">
        <f t="shared" si="26"/>
        <v>2.2794903861170401E-2</v>
      </c>
    </row>
    <row r="132" spans="1:42" x14ac:dyDescent="0.2">
      <c r="A132" s="638">
        <v>42430</v>
      </c>
      <c r="B132" s="341" t="s">
        <v>136</v>
      </c>
      <c r="C132" s="351" t="s">
        <v>191</v>
      </c>
      <c r="D132" s="342">
        <v>161113.72000306699</v>
      </c>
      <c r="E132" s="342">
        <v>6757</v>
      </c>
      <c r="F132" s="342">
        <v>154356.72000306699</v>
      </c>
      <c r="G132" s="342">
        <v>90888.809835746899</v>
      </c>
      <c r="H132" s="342">
        <v>43576.2398184091</v>
      </c>
      <c r="I132" s="342">
        <v>47312.570017337799</v>
      </c>
      <c r="J132" s="342">
        <v>2456.8400094509102</v>
      </c>
      <c r="K132" s="343">
        <v>88431.969826295986</v>
      </c>
      <c r="L132" s="342">
        <v>46866.5402975529</v>
      </c>
      <c r="M132" s="342">
        <v>978.16999626159702</v>
      </c>
      <c r="N132" s="354">
        <v>756</v>
      </c>
      <c r="O132" s="343">
        <v>213.11338624744312</v>
      </c>
      <c r="P132" s="343">
        <v>149.82673241964616</v>
      </c>
      <c r="Q132" s="343">
        <v>120.22329343352764</v>
      </c>
      <c r="R132" s="344">
        <v>0.56412830536106251</v>
      </c>
      <c r="S132" s="344">
        <v>0.82020603045650542</v>
      </c>
      <c r="T132" s="343">
        <v>134405.96</v>
      </c>
      <c r="U132" s="342">
        <v>106978.02</v>
      </c>
      <c r="V132" s="342">
        <v>2698.59</v>
      </c>
      <c r="W132" s="344">
        <f t="shared" si="27"/>
        <v>2.5225649156714623E-2</v>
      </c>
      <c r="X132" s="342">
        <v>2656.41</v>
      </c>
      <c r="Y132" s="344">
        <f t="shared" si="28"/>
        <v>2.4831362554663096E-2</v>
      </c>
      <c r="Z132" s="342">
        <v>571.34</v>
      </c>
      <c r="AA132" s="344">
        <f t="shared" si="20"/>
        <v>5.3407232625916987E-3</v>
      </c>
      <c r="AB132" s="342">
        <v>931</v>
      </c>
      <c r="AC132" s="344">
        <f t="shared" si="21"/>
        <v>8.7027222975336431E-3</v>
      </c>
      <c r="AD132" s="342">
        <v>27427.94</v>
      </c>
      <c r="AE132" s="342">
        <v>2399.7800000000002</v>
      </c>
      <c r="AF132" s="344">
        <f t="shared" si="22"/>
        <v>8.7493993351305283E-2</v>
      </c>
      <c r="AG132" s="342">
        <v>2995.79</v>
      </c>
      <c r="AH132" s="344">
        <f t="shared" si="23"/>
        <v>0.10922402484473862</v>
      </c>
      <c r="AI132" s="342">
        <v>3200.64</v>
      </c>
      <c r="AJ132" s="344">
        <f t="shared" si="24"/>
        <v>0.11669268636288398</v>
      </c>
      <c r="AK132" s="342">
        <v>4036.4</v>
      </c>
      <c r="AL132" s="784">
        <f t="shared" si="25"/>
        <v>0.14716380450008276</v>
      </c>
      <c r="AM132" s="350">
        <v>27.416946552395256</v>
      </c>
      <c r="AN132" s="350">
        <v>22.80616262413043</v>
      </c>
      <c r="AO132" s="350">
        <v>129.65568569777824</v>
      </c>
      <c r="AP132" s="639">
        <f t="shared" si="26"/>
        <v>2.1690310666238839E-2</v>
      </c>
    </row>
    <row r="133" spans="1:42" x14ac:dyDescent="0.2">
      <c r="A133" s="638">
        <v>42430</v>
      </c>
      <c r="B133" s="341" t="s">
        <v>136</v>
      </c>
      <c r="C133" s="351" t="s">
        <v>192</v>
      </c>
      <c r="D133" s="342">
        <v>196770.18000274</v>
      </c>
      <c r="E133" s="342">
        <v>10231</v>
      </c>
      <c r="F133" s="342">
        <v>186539.18000274</v>
      </c>
      <c r="G133" s="342">
        <v>126073.589877024</v>
      </c>
      <c r="H133" s="342">
        <v>61162.659904852502</v>
      </c>
      <c r="I133" s="342">
        <v>64910.929972171798</v>
      </c>
      <c r="J133" s="342">
        <v>2552.1799986362498</v>
      </c>
      <c r="K133" s="343">
        <v>123521.40987838805</v>
      </c>
      <c r="L133" s="342">
        <v>52975.380256330602</v>
      </c>
      <c r="M133" s="342">
        <v>1135</v>
      </c>
      <c r="N133" s="354">
        <v>1318</v>
      </c>
      <c r="O133" s="343">
        <v>149.29452200511381</v>
      </c>
      <c r="P133" s="343">
        <v>108.23960527041685</v>
      </c>
      <c r="Q133" s="343">
        <v>95.655227524297644</v>
      </c>
      <c r="R133" s="344">
        <v>0.64071491866942809</v>
      </c>
      <c r="S133" s="344">
        <v>0.89983392840436915</v>
      </c>
      <c r="T133" s="343">
        <v>206514.15000000002</v>
      </c>
      <c r="U133" s="342">
        <v>158849.35</v>
      </c>
      <c r="V133" s="342">
        <v>2824.73</v>
      </c>
      <c r="W133" s="344">
        <f t="shared" si="27"/>
        <v>1.7782446072332054E-2</v>
      </c>
      <c r="X133" s="342">
        <v>12200.59</v>
      </c>
      <c r="Y133" s="344">
        <f t="shared" si="28"/>
        <v>7.6806042958312393E-2</v>
      </c>
      <c r="Z133" s="342">
        <v>9500.51</v>
      </c>
      <c r="AA133" s="344">
        <f t="shared" si="20"/>
        <v>5.9808302646501228E-2</v>
      </c>
      <c r="AB133" s="342">
        <v>4149.18</v>
      </c>
      <c r="AC133" s="344">
        <f t="shared" si="21"/>
        <v>2.6120220196053683E-2</v>
      </c>
      <c r="AD133" s="342">
        <v>47664.800000000003</v>
      </c>
      <c r="AE133" s="342">
        <v>5417.81</v>
      </c>
      <c r="AF133" s="344">
        <f t="shared" si="22"/>
        <v>0.11366480085933435</v>
      </c>
      <c r="AG133" s="342">
        <v>5657.67</v>
      </c>
      <c r="AH133" s="344">
        <f t="shared" si="23"/>
        <v>0.11869702589751766</v>
      </c>
      <c r="AI133" s="342">
        <v>4694.95</v>
      </c>
      <c r="AJ133" s="344">
        <f t="shared" si="24"/>
        <v>9.8499311861163785E-2</v>
      </c>
      <c r="AK133" s="342">
        <v>12862.66</v>
      </c>
      <c r="AL133" s="784">
        <f t="shared" si="25"/>
        <v>0.26985658179621019</v>
      </c>
      <c r="AM133" s="350">
        <v>32.574030123946649</v>
      </c>
      <c r="AN133" s="350">
        <v>26.477900830929098</v>
      </c>
      <c r="AO133" s="350">
        <v>139.97559304336477</v>
      </c>
      <c r="AP133" s="639">
        <f t="shared" si="26"/>
        <v>1.7889973231232474E-2</v>
      </c>
    </row>
    <row r="134" spans="1:42" x14ac:dyDescent="0.2">
      <c r="A134" s="638">
        <v>42430</v>
      </c>
      <c r="B134" s="341" t="s">
        <v>136</v>
      </c>
      <c r="C134" s="351" t="s">
        <v>193</v>
      </c>
      <c r="D134" s="342">
        <v>1051</v>
      </c>
      <c r="E134" s="342">
        <v>0</v>
      </c>
      <c r="F134" s="342">
        <v>1051</v>
      </c>
      <c r="G134" s="342">
        <v>565</v>
      </c>
      <c r="H134" s="342">
        <v>0</v>
      </c>
      <c r="I134" s="342">
        <v>565</v>
      </c>
      <c r="J134" s="342">
        <v>0</v>
      </c>
      <c r="K134" s="343">
        <v>565</v>
      </c>
      <c r="L134" s="342">
        <v>0</v>
      </c>
      <c r="M134" s="342">
        <v>0</v>
      </c>
      <c r="N134" s="354">
        <v>6</v>
      </c>
      <c r="O134" s="343">
        <v>175.16666666666666</v>
      </c>
      <c r="P134" s="343">
        <v>175.16666666666666</v>
      </c>
      <c r="Q134" s="343">
        <v>94.166666666666671</v>
      </c>
      <c r="R134" s="344">
        <v>0.53758325404376783</v>
      </c>
      <c r="S134" s="344">
        <v>0.53758325404376783</v>
      </c>
      <c r="T134" s="343">
        <v>486</v>
      </c>
      <c r="U134" s="342">
        <v>701</v>
      </c>
      <c r="V134" s="342">
        <v>0</v>
      </c>
      <c r="W134" s="344">
        <f t="shared" si="27"/>
        <v>0</v>
      </c>
      <c r="X134" s="342">
        <v>0</v>
      </c>
      <c r="Y134" s="344">
        <f t="shared" si="28"/>
        <v>0</v>
      </c>
      <c r="Z134" s="342">
        <v>0</v>
      </c>
      <c r="AA134" s="344">
        <f t="shared" si="20"/>
        <v>0</v>
      </c>
      <c r="AB134" s="342">
        <v>0</v>
      </c>
      <c r="AC134" s="344">
        <f t="shared" si="21"/>
        <v>0</v>
      </c>
      <c r="AD134" s="342">
        <v>-215</v>
      </c>
      <c r="AE134" s="342">
        <v>0</v>
      </c>
      <c r="AF134" s="344">
        <f t="shared" si="22"/>
        <v>0</v>
      </c>
      <c r="AG134" s="342">
        <v>0</v>
      </c>
      <c r="AH134" s="344">
        <f t="shared" si="23"/>
        <v>0</v>
      </c>
      <c r="AI134" s="342">
        <v>0</v>
      </c>
      <c r="AJ134" s="344">
        <f t="shared" si="24"/>
        <v>0</v>
      </c>
      <c r="AK134" s="342">
        <v>0</v>
      </c>
      <c r="AL134" s="784">
        <f t="shared" si="25"/>
        <v>0</v>
      </c>
      <c r="AM134" s="350">
        <v>13.872502378686965</v>
      </c>
      <c r="AN134" s="350">
        <v>20.009514747859182</v>
      </c>
      <c r="AO134" s="350" t="s">
        <v>313</v>
      </c>
      <c r="AP134" s="639">
        <f t="shared" si="26"/>
        <v>0</v>
      </c>
    </row>
    <row r="135" spans="1:42" x14ac:dyDescent="0.2">
      <c r="A135" s="638">
        <v>42430</v>
      </c>
      <c r="B135" s="341" t="s">
        <v>136</v>
      </c>
      <c r="C135" s="351" t="s">
        <v>194</v>
      </c>
      <c r="D135" s="342">
        <v>97502.370001904696</v>
      </c>
      <c r="E135" s="342">
        <v>6481</v>
      </c>
      <c r="F135" s="342">
        <v>91021.370001904696</v>
      </c>
      <c r="G135" s="342">
        <v>60917.6299555078</v>
      </c>
      <c r="H135" s="342">
        <v>26639.3099624887</v>
      </c>
      <c r="I135" s="342">
        <v>34278.319993019097</v>
      </c>
      <c r="J135" s="342">
        <v>1561.0799999237099</v>
      </c>
      <c r="K135" s="343">
        <v>59356.549955584087</v>
      </c>
      <c r="L135" s="342">
        <v>28511.820074768701</v>
      </c>
      <c r="M135" s="342">
        <v>506.950000762939</v>
      </c>
      <c r="N135" s="354">
        <v>472</v>
      </c>
      <c r="O135" s="343">
        <v>206.57281780064554</v>
      </c>
      <c r="P135" s="343">
        <v>145.09237272536663</v>
      </c>
      <c r="Q135" s="343">
        <v>129.06277532946567</v>
      </c>
      <c r="R135" s="344">
        <v>0.62478101767493222</v>
      </c>
      <c r="S135" s="344">
        <v>0.91027101224608442</v>
      </c>
      <c r="T135" s="343">
        <v>78403.360000000001</v>
      </c>
      <c r="U135" s="342">
        <v>65398.01</v>
      </c>
      <c r="V135" s="342">
        <v>2400.09</v>
      </c>
      <c r="W135" s="344">
        <f t="shared" si="27"/>
        <v>3.6699740557854896E-2</v>
      </c>
      <c r="X135" s="342">
        <v>633</v>
      </c>
      <c r="Y135" s="344">
        <f t="shared" si="28"/>
        <v>9.6791936023741393E-3</v>
      </c>
      <c r="Z135" s="342">
        <v>-146.19999999999999</v>
      </c>
      <c r="AA135" s="344">
        <v>0</v>
      </c>
      <c r="AB135" s="342">
        <v>0</v>
      </c>
      <c r="AC135" s="344">
        <f t="shared" si="21"/>
        <v>0</v>
      </c>
      <c r="AD135" s="342">
        <v>13005.35</v>
      </c>
      <c r="AE135" s="342">
        <v>2254.12</v>
      </c>
      <c r="AF135" s="344">
        <f t="shared" si="22"/>
        <v>0.17332251727173817</v>
      </c>
      <c r="AG135" s="342">
        <v>1841.92</v>
      </c>
      <c r="AH135" s="344">
        <f t="shared" si="23"/>
        <v>0.14162786853102763</v>
      </c>
      <c r="AI135" s="342">
        <v>1343.15</v>
      </c>
      <c r="AJ135" s="344">
        <f t="shared" si="24"/>
        <v>0.10327672842330272</v>
      </c>
      <c r="AK135" s="342">
        <v>490.96</v>
      </c>
      <c r="AL135" s="784">
        <f t="shared" si="25"/>
        <v>3.7750618014893871E-2</v>
      </c>
      <c r="AM135" s="350">
        <v>23.651078683811416</v>
      </c>
      <c r="AN135" s="350">
        <v>20.938372503062123</v>
      </c>
      <c r="AO135" s="350">
        <v>69.625929450954729</v>
      </c>
      <c r="AP135" s="639">
        <f t="shared" si="26"/>
        <v>2.2794946550736706E-2</v>
      </c>
    </row>
    <row r="136" spans="1:42" x14ac:dyDescent="0.2">
      <c r="A136" s="638">
        <v>42430</v>
      </c>
      <c r="B136" s="341" t="s">
        <v>136</v>
      </c>
      <c r="C136" s="351" t="s">
        <v>195</v>
      </c>
      <c r="D136" s="342">
        <v>66191.730000799507</v>
      </c>
      <c r="E136" s="342">
        <v>2368</v>
      </c>
      <c r="F136" s="342">
        <v>63823.7300007995</v>
      </c>
      <c r="G136" s="342">
        <v>35953.9498660229</v>
      </c>
      <c r="H136" s="342">
        <v>20252.2298762463</v>
      </c>
      <c r="I136" s="342">
        <v>15701.7199897766</v>
      </c>
      <c r="J136" s="342">
        <v>822.07999801635697</v>
      </c>
      <c r="K136" s="343">
        <v>35131.869868006543</v>
      </c>
      <c r="L136" s="342">
        <v>18433.880061192402</v>
      </c>
      <c r="M136" s="342">
        <v>340</v>
      </c>
      <c r="N136" s="354">
        <v>372</v>
      </c>
      <c r="O136" s="343">
        <v>177.9347580666653</v>
      </c>
      <c r="P136" s="343">
        <v>127.4673385473309</v>
      </c>
      <c r="Q136" s="343">
        <v>96.650402865652964</v>
      </c>
      <c r="R136" s="344">
        <v>0.54317888149454063</v>
      </c>
      <c r="S136" s="344">
        <v>0.77161403086787295</v>
      </c>
      <c r="T136" s="343">
        <v>45922.130000000005</v>
      </c>
      <c r="U136" s="342">
        <v>41877.15</v>
      </c>
      <c r="V136" s="342">
        <v>1256.52</v>
      </c>
      <c r="W136" s="344">
        <f t="shared" si="27"/>
        <v>3.0004907210734254E-2</v>
      </c>
      <c r="X136" s="342">
        <v>0</v>
      </c>
      <c r="Y136" s="344">
        <f t="shared" si="28"/>
        <v>0</v>
      </c>
      <c r="Z136" s="342">
        <v>0</v>
      </c>
      <c r="AA136" s="344">
        <f t="shared" si="20"/>
        <v>0</v>
      </c>
      <c r="AB136" s="342">
        <v>0</v>
      </c>
      <c r="AC136" s="344">
        <f t="shared" si="21"/>
        <v>0</v>
      </c>
      <c r="AD136" s="342">
        <v>4044.98</v>
      </c>
      <c r="AE136" s="342">
        <v>1357.77</v>
      </c>
      <c r="AF136" s="344">
        <f t="shared" si="22"/>
        <v>0.33566791430365539</v>
      </c>
      <c r="AG136" s="342">
        <v>269.61</v>
      </c>
      <c r="AH136" s="344">
        <f t="shared" si="23"/>
        <v>6.6652987159392635E-2</v>
      </c>
      <c r="AI136" s="342">
        <v>0</v>
      </c>
      <c r="AJ136" s="344">
        <f t="shared" si="24"/>
        <v>0</v>
      </c>
      <c r="AK136" s="342">
        <v>0</v>
      </c>
      <c r="AL136" s="784">
        <f t="shared" si="25"/>
        <v>0</v>
      </c>
      <c r="AM136" s="350">
        <v>25.831028608746827</v>
      </c>
      <c r="AN136" s="350">
        <v>24.443652126922313</v>
      </c>
      <c r="AO136" s="350">
        <v>62.637336545079151</v>
      </c>
      <c r="AP136" s="639">
        <f t="shared" si="26"/>
        <v>1.7336931114830902E-2</v>
      </c>
    </row>
    <row r="137" spans="1:42" x14ac:dyDescent="0.2">
      <c r="A137" s="638">
        <v>42430</v>
      </c>
      <c r="B137" s="341" t="s">
        <v>136</v>
      </c>
      <c r="C137" s="351" t="s">
        <v>196</v>
      </c>
      <c r="D137" s="342">
        <v>45360.900001773603</v>
      </c>
      <c r="E137" s="342">
        <v>4321</v>
      </c>
      <c r="F137" s="342">
        <v>41039.900001773603</v>
      </c>
      <c r="G137" s="342">
        <v>17479.7899847031</v>
      </c>
      <c r="H137" s="342">
        <v>2941.58998584747</v>
      </c>
      <c r="I137" s="342">
        <v>14538.1999988556</v>
      </c>
      <c r="J137" s="342">
        <v>0</v>
      </c>
      <c r="K137" s="343">
        <v>17479.789984703071</v>
      </c>
      <c r="L137" s="342">
        <v>4201.3000411987296</v>
      </c>
      <c r="M137" s="342">
        <v>81</v>
      </c>
      <c r="N137" s="354">
        <v>263</v>
      </c>
      <c r="O137" s="343">
        <v>172.47490494970953</v>
      </c>
      <c r="P137" s="343">
        <v>156.19239528735693</v>
      </c>
      <c r="Q137" s="343">
        <v>66.463079789745521</v>
      </c>
      <c r="R137" s="344">
        <v>0.38534927622731502</v>
      </c>
      <c r="S137" s="344">
        <v>0.42552058739780019</v>
      </c>
      <c r="T137" s="343">
        <v>23318.81</v>
      </c>
      <c r="U137" s="342">
        <v>22748.38</v>
      </c>
      <c r="V137" s="342">
        <v>0</v>
      </c>
      <c r="W137" s="344">
        <f t="shared" si="27"/>
        <v>0</v>
      </c>
      <c r="X137" s="342">
        <v>0</v>
      </c>
      <c r="Y137" s="344">
        <f t="shared" si="28"/>
        <v>0</v>
      </c>
      <c r="Z137" s="342">
        <v>0</v>
      </c>
      <c r="AA137" s="344">
        <f t="shared" si="20"/>
        <v>0</v>
      </c>
      <c r="AB137" s="342">
        <v>0</v>
      </c>
      <c r="AC137" s="344">
        <f t="shared" si="21"/>
        <v>0</v>
      </c>
      <c r="AD137" s="342">
        <v>570.42999999999995</v>
      </c>
      <c r="AE137" s="342">
        <v>0</v>
      </c>
      <c r="AF137" s="344">
        <f t="shared" si="22"/>
        <v>0</v>
      </c>
      <c r="AG137" s="342">
        <v>0</v>
      </c>
      <c r="AH137" s="344">
        <f t="shared" si="23"/>
        <v>0</v>
      </c>
      <c r="AI137" s="342">
        <v>0</v>
      </c>
      <c r="AJ137" s="344">
        <f t="shared" si="24"/>
        <v>0</v>
      </c>
      <c r="AK137" s="342">
        <v>0</v>
      </c>
      <c r="AL137" s="784">
        <f t="shared" si="25"/>
        <v>0</v>
      </c>
      <c r="AM137" s="350">
        <v>30.844374779717654</v>
      </c>
      <c r="AN137" s="350">
        <v>33.257946533520148</v>
      </c>
      <c r="AO137" s="350">
        <v>7.9208053691275166</v>
      </c>
      <c r="AP137" s="639">
        <f t="shared" si="26"/>
        <v>0</v>
      </c>
    </row>
    <row r="138" spans="1:42" x14ac:dyDescent="0.2">
      <c r="A138" s="638">
        <v>42430</v>
      </c>
      <c r="B138" s="341" t="s">
        <v>136</v>
      </c>
      <c r="C138" s="351" t="s">
        <v>290</v>
      </c>
      <c r="D138" s="342">
        <v>0</v>
      </c>
      <c r="E138" s="342">
        <v>0</v>
      </c>
      <c r="F138" s="342">
        <v>0</v>
      </c>
      <c r="G138" s="342">
        <v>0</v>
      </c>
      <c r="H138" s="342">
        <v>0</v>
      </c>
      <c r="I138" s="342">
        <v>0</v>
      </c>
      <c r="J138" s="342">
        <v>0</v>
      </c>
      <c r="K138" s="343">
        <v>0</v>
      </c>
      <c r="L138" s="342">
        <v>0</v>
      </c>
      <c r="M138" s="342">
        <v>0</v>
      </c>
      <c r="N138" s="354">
        <v>0</v>
      </c>
      <c r="O138" s="343" t="s">
        <v>311</v>
      </c>
      <c r="P138" s="343" t="s">
        <v>311</v>
      </c>
      <c r="Q138" s="343" t="s">
        <v>311</v>
      </c>
      <c r="R138" s="344" t="s">
        <v>312</v>
      </c>
      <c r="S138" s="344" t="s">
        <v>312</v>
      </c>
      <c r="T138" s="343">
        <v>0</v>
      </c>
      <c r="U138" s="342">
        <v>0</v>
      </c>
      <c r="V138" s="342">
        <v>0</v>
      </c>
      <c r="W138" s="344" t="str">
        <f t="shared" si="27"/>
        <v>0.00%</v>
      </c>
      <c r="X138" s="342">
        <v>0</v>
      </c>
      <c r="Y138" s="344" t="str">
        <f t="shared" si="28"/>
        <v>0.00%</v>
      </c>
      <c r="Z138" s="342">
        <v>0</v>
      </c>
      <c r="AA138" s="344">
        <f t="shared" si="20"/>
        <v>0</v>
      </c>
      <c r="AB138" s="342">
        <v>0</v>
      </c>
      <c r="AC138" s="344" t="str">
        <f t="shared" si="21"/>
        <v>0.00%</v>
      </c>
      <c r="AD138" s="342">
        <v>0</v>
      </c>
      <c r="AE138" s="342">
        <v>0</v>
      </c>
      <c r="AF138" s="344" t="str">
        <f t="shared" si="22"/>
        <v>0.00%</v>
      </c>
      <c r="AG138" s="342">
        <v>0</v>
      </c>
      <c r="AH138" s="344" t="str">
        <f t="shared" si="23"/>
        <v>0.00%</v>
      </c>
      <c r="AI138" s="342">
        <v>0</v>
      </c>
      <c r="AJ138" s="344">
        <f t="shared" si="24"/>
        <v>0</v>
      </c>
      <c r="AK138" s="342">
        <v>0</v>
      </c>
      <c r="AL138" s="784" t="str">
        <f t="shared" si="25"/>
        <v>0.00%</v>
      </c>
      <c r="AM138" s="350" t="s">
        <v>313</v>
      </c>
      <c r="AN138" s="350" t="s">
        <v>313</v>
      </c>
      <c r="AO138" s="350" t="s">
        <v>313</v>
      </c>
      <c r="AP138" s="639" t="str">
        <f t="shared" si="26"/>
        <v>0.00%</v>
      </c>
    </row>
    <row r="139" spans="1:42" x14ac:dyDescent="0.2">
      <c r="A139" s="638">
        <v>42430</v>
      </c>
      <c r="B139" s="341" t="s">
        <v>137</v>
      </c>
      <c r="C139" s="351" t="s">
        <v>209</v>
      </c>
      <c r="D139" s="342">
        <v>55827.120002994299</v>
      </c>
      <c r="E139" s="342">
        <v>4654</v>
      </c>
      <c r="F139" s="342">
        <v>51173.120002994299</v>
      </c>
      <c r="G139" s="342">
        <v>27227.389986038201</v>
      </c>
      <c r="H139" s="342">
        <v>10686.8299856186</v>
      </c>
      <c r="I139" s="342">
        <v>16540.560000419599</v>
      </c>
      <c r="J139" s="342">
        <v>369.10000038147001</v>
      </c>
      <c r="K139" s="343">
        <v>26858.289985656731</v>
      </c>
      <c r="L139" s="342">
        <v>14234.1100497432</v>
      </c>
      <c r="M139" s="342">
        <v>375.68000030517601</v>
      </c>
      <c r="N139" s="354">
        <v>269</v>
      </c>
      <c r="O139" s="343">
        <v>207.5357620929156</v>
      </c>
      <c r="P139" s="343">
        <v>153.2242749180146</v>
      </c>
      <c r="Q139" s="343">
        <v>101.21706314512342</v>
      </c>
      <c r="R139" s="344">
        <v>0.48770901999920208</v>
      </c>
      <c r="S139" s="344">
        <v>0.66655005657910671</v>
      </c>
      <c r="T139" s="343">
        <v>36134.019999999997</v>
      </c>
      <c r="U139" s="342">
        <v>33442.75</v>
      </c>
      <c r="V139" s="342">
        <v>0</v>
      </c>
      <c r="W139" s="344">
        <f t="shared" si="27"/>
        <v>0</v>
      </c>
      <c r="X139" s="342">
        <v>0</v>
      </c>
      <c r="Y139" s="344">
        <f t="shared" si="28"/>
        <v>0</v>
      </c>
      <c r="Z139" s="342">
        <v>0</v>
      </c>
      <c r="AA139" s="344">
        <f t="shared" si="20"/>
        <v>0</v>
      </c>
      <c r="AB139" s="342">
        <v>0</v>
      </c>
      <c r="AC139" s="344">
        <f t="shared" si="21"/>
        <v>0</v>
      </c>
      <c r="AD139" s="342">
        <v>2691.27</v>
      </c>
      <c r="AE139" s="342">
        <v>0</v>
      </c>
      <c r="AF139" s="344">
        <f t="shared" si="22"/>
        <v>0</v>
      </c>
      <c r="AG139" s="342">
        <v>0</v>
      </c>
      <c r="AH139" s="344">
        <f t="shared" si="23"/>
        <v>0</v>
      </c>
      <c r="AI139" s="342">
        <v>0</v>
      </c>
      <c r="AJ139" s="344">
        <f t="shared" si="24"/>
        <v>0</v>
      </c>
      <c r="AK139" s="342">
        <v>0</v>
      </c>
      <c r="AL139" s="784">
        <f t="shared" si="25"/>
        <v>0</v>
      </c>
      <c r="AM139" s="350">
        <v>30.44095582290467</v>
      </c>
      <c r="AN139" s="350">
        <v>31.074914055639297</v>
      </c>
      <c r="AO139" s="350">
        <v>24.284569881692398</v>
      </c>
      <c r="AP139" s="639">
        <f t="shared" si="26"/>
        <v>8.9549711444879589E-3</v>
      </c>
    </row>
    <row r="140" spans="1:42" x14ac:dyDescent="0.2">
      <c r="A140" s="638">
        <v>42430</v>
      </c>
      <c r="B140" s="341" t="s">
        <v>137</v>
      </c>
      <c r="C140" s="351" t="s">
        <v>197</v>
      </c>
      <c r="D140" s="342">
        <v>170594.55000487299</v>
      </c>
      <c r="E140" s="342">
        <v>9393</v>
      </c>
      <c r="F140" s="342">
        <v>161201.55000487299</v>
      </c>
      <c r="G140" s="342">
        <v>92213.269880384207</v>
      </c>
      <c r="H140" s="342">
        <v>41129.5898766518</v>
      </c>
      <c r="I140" s="342">
        <v>51083.680003732399</v>
      </c>
      <c r="J140" s="342">
        <v>1957.5700006484999</v>
      </c>
      <c r="K140" s="343">
        <v>90255.699879735708</v>
      </c>
      <c r="L140" s="342">
        <v>43101.060176849402</v>
      </c>
      <c r="M140" s="342">
        <v>634.799999237061</v>
      </c>
      <c r="N140" s="354">
        <v>819</v>
      </c>
      <c r="O140" s="343">
        <v>208.29615385210377</v>
      </c>
      <c r="P140" s="343">
        <v>154.89461517556353</v>
      </c>
      <c r="Q140" s="343">
        <v>112.59251511646423</v>
      </c>
      <c r="R140" s="344">
        <v>0.54054053823964576</v>
      </c>
      <c r="S140" s="344">
        <v>0.73829017711985456</v>
      </c>
      <c r="T140" s="343">
        <v>143282.31</v>
      </c>
      <c r="U140" s="342">
        <v>128319.87</v>
      </c>
      <c r="V140" s="342">
        <v>7315.85</v>
      </c>
      <c r="W140" s="344">
        <f t="shared" si="27"/>
        <v>5.7012604517133636E-2</v>
      </c>
      <c r="X140" s="342">
        <v>4412.3900000000003</v>
      </c>
      <c r="Y140" s="344">
        <f t="shared" si="28"/>
        <v>3.4385867130320505E-2</v>
      </c>
      <c r="Z140" s="342">
        <v>0</v>
      </c>
      <c r="AA140" s="344">
        <f t="shared" si="20"/>
        <v>0</v>
      </c>
      <c r="AB140" s="342">
        <v>0</v>
      </c>
      <c r="AC140" s="344">
        <f t="shared" si="21"/>
        <v>0</v>
      </c>
      <c r="AD140" s="342">
        <v>14962.44</v>
      </c>
      <c r="AE140" s="342">
        <v>3365.96</v>
      </c>
      <c r="AF140" s="344">
        <f t="shared" si="22"/>
        <v>0.22496063476277933</v>
      </c>
      <c r="AG140" s="342">
        <v>2347.8000000000002</v>
      </c>
      <c r="AH140" s="344">
        <f t="shared" si="23"/>
        <v>0.15691290992645585</v>
      </c>
      <c r="AI140" s="342">
        <v>0</v>
      </c>
      <c r="AJ140" s="344">
        <f t="shared" si="24"/>
        <v>0</v>
      </c>
      <c r="AK140" s="342">
        <v>0</v>
      </c>
      <c r="AL140" s="784">
        <f t="shared" si="25"/>
        <v>0</v>
      </c>
      <c r="AM140" s="350">
        <v>28.776357735413281</v>
      </c>
      <c r="AN140" s="350">
        <v>27.411090513705918</v>
      </c>
      <c r="AO140" s="350">
        <v>50.233879210653932</v>
      </c>
      <c r="AP140" s="639">
        <f t="shared" si="26"/>
        <v>1.5431106874038453E-2</v>
      </c>
    </row>
    <row r="141" spans="1:42" x14ac:dyDescent="0.2">
      <c r="A141" s="638">
        <v>42430</v>
      </c>
      <c r="B141" s="341" t="s">
        <v>137</v>
      </c>
      <c r="C141" s="351" t="s">
        <v>198</v>
      </c>
      <c r="D141" s="342">
        <v>0</v>
      </c>
      <c r="E141" s="342">
        <v>0</v>
      </c>
      <c r="F141" s="342">
        <v>0</v>
      </c>
      <c r="G141" s="342">
        <v>0</v>
      </c>
      <c r="H141" s="342">
        <v>0</v>
      </c>
      <c r="I141" s="342">
        <v>0</v>
      </c>
      <c r="J141" s="342">
        <v>0</v>
      </c>
      <c r="K141" s="343">
        <v>0</v>
      </c>
      <c r="L141" s="342">
        <v>0</v>
      </c>
      <c r="M141" s="342">
        <v>0</v>
      </c>
      <c r="N141" s="354">
        <v>0</v>
      </c>
      <c r="O141" s="343" t="s">
        <v>311</v>
      </c>
      <c r="P141" s="343" t="s">
        <v>311</v>
      </c>
      <c r="Q141" s="343" t="s">
        <v>311</v>
      </c>
      <c r="R141" s="344" t="s">
        <v>312</v>
      </c>
      <c r="S141" s="344" t="s">
        <v>312</v>
      </c>
      <c r="T141" s="343">
        <v>63.93</v>
      </c>
      <c r="U141" s="342">
        <v>0</v>
      </c>
      <c r="V141" s="342">
        <v>0</v>
      </c>
      <c r="W141" s="344" t="str">
        <f t="shared" si="27"/>
        <v>0.00%</v>
      </c>
      <c r="X141" s="342">
        <v>0</v>
      </c>
      <c r="Y141" s="344" t="str">
        <f t="shared" si="28"/>
        <v>0.00%</v>
      </c>
      <c r="Z141" s="342">
        <v>0</v>
      </c>
      <c r="AA141" s="344">
        <f t="shared" si="20"/>
        <v>0</v>
      </c>
      <c r="AB141" s="342">
        <v>0</v>
      </c>
      <c r="AC141" s="344" t="str">
        <f t="shared" si="21"/>
        <v>0.00%</v>
      </c>
      <c r="AD141" s="342">
        <v>63.93</v>
      </c>
      <c r="AE141" s="342">
        <v>0</v>
      </c>
      <c r="AF141" s="344">
        <f t="shared" si="22"/>
        <v>0</v>
      </c>
      <c r="AG141" s="342">
        <v>0</v>
      </c>
      <c r="AH141" s="344">
        <f t="shared" si="23"/>
        <v>0</v>
      </c>
      <c r="AI141" s="342">
        <v>0</v>
      </c>
      <c r="AJ141" s="344">
        <f t="shared" si="24"/>
        <v>0</v>
      </c>
      <c r="AK141" s="342">
        <v>63.93</v>
      </c>
      <c r="AL141" s="784">
        <f t="shared" si="25"/>
        <v>1</v>
      </c>
      <c r="AM141" s="350" t="s">
        <v>313</v>
      </c>
      <c r="AN141" s="350" t="s">
        <v>313</v>
      </c>
      <c r="AO141" s="350" t="s">
        <v>313</v>
      </c>
      <c r="AP141" s="639" t="str">
        <f t="shared" si="26"/>
        <v>0.00%</v>
      </c>
    </row>
    <row r="142" spans="1:42" x14ac:dyDescent="0.2">
      <c r="A142" s="638">
        <v>42430</v>
      </c>
      <c r="B142" s="341" t="s">
        <v>137</v>
      </c>
      <c r="C142" s="351" t="s">
        <v>199</v>
      </c>
      <c r="D142" s="342">
        <v>272844.59000456898</v>
      </c>
      <c r="E142" s="342">
        <v>10189</v>
      </c>
      <c r="F142" s="342">
        <v>262655.59000456898</v>
      </c>
      <c r="G142" s="342">
        <v>169215.199781537</v>
      </c>
      <c r="H142" s="342">
        <v>88646.069787621498</v>
      </c>
      <c r="I142" s="342">
        <v>80569.129993915602</v>
      </c>
      <c r="J142" s="342">
        <v>4099.3200006485004</v>
      </c>
      <c r="K142" s="343">
        <v>165115.87978088862</v>
      </c>
      <c r="L142" s="342">
        <v>80976.280255813195</v>
      </c>
      <c r="M142" s="342">
        <v>1288</v>
      </c>
      <c r="N142" s="354">
        <v>1382</v>
      </c>
      <c r="O142" s="343">
        <v>197.42734443167075</v>
      </c>
      <c r="P142" s="343">
        <v>137.90181602659607</v>
      </c>
      <c r="Q142" s="343">
        <v>122.44225743960718</v>
      </c>
      <c r="R142" s="344">
        <v>0.62018894997589469</v>
      </c>
      <c r="S142" s="344">
        <v>0.90741260012673541</v>
      </c>
      <c r="T142" s="343">
        <v>315378.08</v>
      </c>
      <c r="U142" s="342">
        <v>193072.88</v>
      </c>
      <c r="V142" s="342">
        <v>5618.63</v>
      </c>
      <c r="W142" s="344">
        <f t="shared" si="27"/>
        <v>2.9101083487230315E-2</v>
      </c>
      <c r="X142" s="342">
        <v>1812.66</v>
      </c>
      <c r="Y142" s="344">
        <f t="shared" si="28"/>
        <v>9.3884754813829893E-3</v>
      </c>
      <c r="Z142" s="342">
        <v>1552.26</v>
      </c>
      <c r="AA142" s="344">
        <f t="shared" si="20"/>
        <v>8.0397619800357256E-3</v>
      </c>
      <c r="AB142" s="342">
        <v>11222.25</v>
      </c>
      <c r="AC142" s="344">
        <f t="shared" si="21"/>
        <v>5.8124424310654087E-2</v>
      </c>
      <c r="AD142" s="342">
        <v>122305.2</v>
      </c>
      <c r="AE142" s="342">
        <v>6040.4</v>
      </c>
      <c r="AF142" s="344">
        <f t="shared" si="22"/>
        <v>4.9387924634439091E-2</v>
      </c>
      <c r="AG142" s="342">
        <v>5028.87</v>
      </c>
      <c r="AH142" s="344">
        <f t="shared" si="23"/>
        <v>4.1117385033506343E-2</v>
      </c>
      <c r="AI142" s="342">
        <v>5254.59</v>
      </c>
      <c r="AJ142" s="344">
        <f t="shared" si="24"/>
        <v>4.296293207484228E-2</v>
      </c>
      <c r="AK142" s="342">
        <v>88498.57</v>
      </c>
      <c r="AL142" s="784">
        <f t="shared" si="25"/>
        <v>0.72358795864771086</v>
      </c>
      <c r="AM142" s="350">
        <v>37.757245196313512</v>
      </c>
      <c r="AN142" s="350">
        <v>24.13395983296693</v>
      </c>
      <c r="AO142" s="350">
        <v>346.73558873558869</v>
      </c>
      <c r="AP142" s="639">
        <f t="shared" si="26"/>
        <v>2.1509672253406879E-2</v>
      </c>
    </row>
    <row r="143" spans="1:42" x14ac:dyDescent="0.2">
      <c r="A143" s="638">
        <v>42430</v>
      </c>
      <c r="B143" s="341" t="s">
        <v>137</v>
      </c>
      <c r="C143" s="351" t="s">
        <v>200</v>
      </c>
      <c r="D143" s="342">
        <v>0</v>
      </c>
      <c r="E143" s="342">
        <v>0</v>
      </c>
      <c r="F143" s="342">
        <v>0</v>
      </c>
      <c r="G143" s="342">
        <v>35.920000076293903</v>
      </c>
      <c r="H143" s="342">
        <v>0</v>
      </c>
      <c r="I143" s="342">
        <v>35.920000076293903</v>
      </c>
      <c r="J143" s="342">
        <v>100</v>
      </c>
      <c r="K143" s="343">
        <v>-64.079999923706097</v>
      </c>
      <c r="L143" s="342">
        <v>0</v>
      </c>
      <c r="M143" s="342">
        <v>0</v>
      </c>
      <c r="N143" s="354">
        <v>0</v>
      </c>
      <c r="O143" s="343" t="s">
        <v>311</v>
      </c>
      <c r="P143" s="343" t="s">
        <v>311</v>
      </c>
      <c r="Q143" s="343" t="s">
        <v>311</v>
      </c>
      <c r="R143" s="344" t="s">
        <v>312</v>
      </c>
      <c r="S143" s="344">
        <v>-0.35920000076293901</v>
      </c>
      <c r="T143" s="343">
        <v>6328.8499999999995</v>
      </c>
      <c r="U143" s="342">
        <v>817.12</v>
      </c>
      <c r="V143" s="342">
        <v>0</v>
      </c>
      <c r="W143" s="344">
        <f t="shared" si="27"/>
        <v>0</v>
      </c>
      <c r="X143" s="342">
        <v>0</v>
      </c>
      <c r="Y143" s="344">
        <f t="shared" si="28"/>
        <v>0</v>
      </c>
      <c r="Z143" s="342">
        <v>354.04</v>
      </c>
      <c r="AA143" s="344">
        <f t="shared" si="20"/>
        <v>0.43327785392598395</v>
      </c>
      <c r="AB143" s="342">
        <v>463.08</v>
      </c>
      <c r="AC143" s="344">
        <f t="shared" si="21"/>
        <v>0.56672214607401605</v>
      </c>
      <c r="AD143" s="342">
        <v>5511.73</v>
      </c>
      <c r="AE143" s="342">
        <v>0</v>
      </c>
      <c r="AF143" s="344">
        <f t="shared" si="22"/>
        <v>0</v>
      </c>
      <c r="AG143" s="342">
        <v>0</v>
      </c>
      <c r="AH143" s="344">
        <f t="shared" si="23"/>
        <v>0</v>
      </c>
      <c r="AI143" s="342">
        <v>53.47</v>
      </c>
      <c r="AJ143" s="344">
        <f t="shared" si="24"/>
        <v>9.7011283208720319E-3</v>
      </c>
      <c r="AK143" s="342">
        <v>5458.26</v>
      </c>
      <c r="AL143" s="784">
        <f t="shared" si="25"/>
        <v>0.99029887167912811</v>
      </c>
      <c r="AM143" s="350" t="s">
        <v>313</v>
      </c>
      <c r="AN143" s="350" t="s">
        <v>313</v>
      </c>
      <c r="AO143" s="350" t="s">
        <v>313</v>
      </c>
      <c r="AP143" s="639" t="str">
        <f t="shared" si="26"/>
        <v>0.00%</v>
      </c>
    </row>
    <row r="144" spans="1:42" x14ac:dyDescent="0.2">
      <c r="A144" s="638">
        <v>42430</v>
      </c>
      <c r="B144" s="341" t="s">
        <v>137</v>
      </c>
      <c r="C144" s="351" t="s">
        <v>201</v>
      </c>
      <c r="D144" s="342">
        <v>291334.44000825798</v>
      </c>
      <c r="E144" s="342">
        <v>11769</v>
      </c>
      <c r="F144" s="342">
        <v>279565.44000825798</v>
      </c>
      <c r="G144" s="342">
        <v>167596.19971621601</v>
      </c>
      <c r="H144" s="342">
        <v>92636.249706631497</v>
      </c>
      <c r="I144" s="342">
        <v>74959.950009584398</v>
      </c>
      <c r="J144" s="342">
        <v>4186.24000144005</v>
      </c>
      <c r="K144" s="343">
        <v>163409.95971477585</v>
      </c>
      <c r="L144" s="342">
        <v>78576.430481452495</v>
      </c>
      <c r="M144" s="342">
        <v>1578.60000228882</v>
      </c>
      <c r="N144" s="354">
        <v>1393</v>
      </c>
      <c r="O144" s="343">
        <v>209.14173726364535</v>
      </c>
      <c r="P144" s="343">
        <v>151.60043756246711</v>
      </c>
      <c r="Q144" s="343">
        <v>120.3131369104206</v>
      </c>
      <c r="R144" s="344">
        <v>0.57527081148203874</v>
      </c>
      <c r="S144" s="344">
        <v>0.80967019396034434</v>
      </c>
      <c r="T144" s="343">
        <v>473003.99</v>
      </c>
      <c r="U144" s="342">
        <v>278082.58</v>
      </c>
      <c r="V144" s="342">
        <v>7036.26</v>
      </c>
      <c r="W144" s="344">
        <f t="shared" si="27"/>
        <v>2.5302771572386879E-2</v>
      </c>
      <c r="X144" s="342">
        <v>5979.06</v>
      </c>
      <c r="Y144" s="344">
        <f t="shared" si="28"/>
        <v>2.1501023185271081E-2</v>
      </c>
      <c r="Z144" s="342">
        <v>3593.11</v>
      </c>
      <c r="AA144" s="344">
        <f t="shared" si="20"/>
        <v>1.292101792208631E-2</v>
      </c>
      <c r="AB144" s="342">
        <v>17394.599999999999</v>
      </c>
      <c r="AC144" s="344">
        <f t="shared" si="21"/>
        <v>6.2551922526035239E-2</v>
      </c>
      <c r="AD144" s="342">
        <v>194921.41</v>
      </c>
      <c r="AE144" s="342">
        <v>6165.87</v>
      </c>
      <c r="AF144" s="344">
        <f t="shared" si="22"/>
        <v>3.1632594900683306E-2</v>
      </c>
      <c r="AG144" s="342">
        <v>6142.57</v>
      </c>
      <c r="AH144" s="344">
        <f t="shared" si="23"/>
        <v>3.1513059545382929E-2</v>
      </c>
      <c r="AI144" s="342">
        <v>7127.41</v>
      </c>
      <c r="AJ144" s="344">
        <f t="shared" si="24"/>
        <v>3.6565557370019021E-2</v>
      </c>
      <c r="AK144" s="342">
        <v>154339.37</v>
      </c>
      <c r="AL144" s="784">
        <f t="shared" si="25"/>
        <v>0.79180306565605074</v>
      </c>
      <c r="AM144" s="350">
        <v>52.58529668909901</v>
      </c>
      <c r="AN144" s="350">
        <v>32.05798117388958</v>
      </c>
      <c r="AO144" s="350">
        <v>607.94728652619904</v>
      </c>
      <c r="AP144" s="639">
        <f t="shared" si="26"/>
        <v>1.9823144741552338E-2</v>
      </c>
    </row>
    <row r="145" spans="1:42" x14ac:dyDescent="0.2">
      <c r="A145" s="638">
        <v>42430</v>
      </c>
      <c r="B145" s="341" t="s">
        <v>137</v>
      </c>
      <c r="C145" s="351" t="s">
        <v>202</v>
      </c>
      <c r="D145" s="342">
        <v>0</v>
      </c>
      <c r="E145" s="342">
        <v>0</v>
      </c>
      <c r="F145" s="342">
        <v>0</v>
      </c>
      <c r="G145" s="342">
        <v>0</v>
      </c>
      <c r="H145" s="342">
        <v>0</v>
      </c>
      <c r="I145" s="342">
        <v>0</v>
      </c>
      <c r="J145" s="342">
        <v>0</v>
      </c>
      <c r="K145" s="343">
        <v>0</v>
      </c>
      <c r="L145" s="342">
        <v>0</v>
      </c>
      <c r="M145" s="342">
        <v>0</v>
      </c>
      <c r="N145" s="354">
        <v>0</v>
      </c>
      <c r="O145" s="343" t="s">
        <v>311</v>
      </c>
      <c r="P145" s="343" t="s">
        <v>311</v>
      </c>
      <c r="Q145" s="343" t="s">
        <v>311</v>
      </c>
      <c r="R145" s="344" t="s">
        <v>312</v>
      </c>
      <c r="S145" s="344" t="s">
        <v>312</v>
      </c>
      <c r="T145" s="343">
        <v>357.61</v>
      </c>
      <c r="U145" s="342">
        <v>0</v>
      </c>
      <c r="V145" s="342">
        <v>0</v>
      </c>
      <c r="W145" s="344" t="str">
        <f t="shared" si="27"/>
        <v>0.00%</v>
      </c>
      <c r="X145" s="342">
        <v>0</v>
      </c>
      <c r="Y145" s="344" t="str">
        <f t="shared" si="28"/>
        <v>0.00%</v>
      </c>
      <c r="Z145" s="342">
        <v>0</v>
      </c>
      <c r="AA145" s="344">
        <f t="shared" si="20"/>
        <v>0</v>
      </c>
      <c r="AB145" s="342">
        <v>0</v>
      </c>
      <c r="AC145" s="344" t="str">
        <f t="shared" si="21"/>
        <v>0.00%</v>
      </c>
      <c r="AD145" s="342">
        <v>357.61</v>
      </c>
      <c r="AE145" s="342">
        <v>0</v>
      </c>
      <c r="AF145" s="344">
        <f t="shared" si="22"/>
        <v>0</v>
      </c>
      <c r="AG145" s="342">
        <v>0</v>
      </c>
      <c r="AH145" s="344">
        <f t="shared" si="23"/>
        <v>0</v>
      </c>
      <c r="AI145" s="342">
        <v>0</v>
      </c>
      <c r="AJ145" s="344">
        <f t="shared" si="24"/>
        <v>0</v>
      </c>
      <c r="AK145" s="342">
        <v>357.61</v>
      </c>
      <c r="AL145" s="784">
        <f t="shared" si="25"/>
        <v>1</v>
      </c>
      <c r="AM145" s="350" t="s">
        <v>313</v>
      </c>
      <c r="AN145" s="350" t="s">
        <v>313</v>
      </c>
      <c r="AO145" s="350" t="s">
        <v>313</v>
      </c>
      <c r="AP145" s="639" t="str">
        <f t="shared" si="26"/>
        <v>0.00%</v>
      </c>
    </row>
    <row r="146" spans="1:42" x14ac:dyDescent="0.2">
      <c r="A146" s="638">
        <v>42430</v>
      </c>
      <c r="B146" s="341" t="s">
        <v>137</v>
      </c>
      <c r="C146" s="351" t="s">
        <v>203</v>
      </c>
      <c r="D146" s="342">
        <v>192009.05000277999</v>
      </c>
      <c r="E146" s="342">
        <v>7733</v>
      </c>
      <c r="F146" s="342">
        <v>184276.05000277999</v>
      </c>
      <c r="G146" s="342">
        <v>122070.77988551601</v>
      </c>
      <c r="H146" s="342">
        <v>62056.119871363</v>
      </c>
      <c r="I146" s="342">
        <v>60014.660014152498</v>
      </c>
      <c r="J146" s="342">
        <v>3353.4600072000198</v>
      </c>
      <c r="K146" s="343">
        <v>118717.31987831548</v>
      </c>
      <c r="L146" s="342">
        <v>53290.4500895292</v>
      </c>
      <c r="M146" s="342">
        <v>1258.47999572754</v>
      </c>
      <c r="N146" s="354">
        <v>1037</v>
      </c>
      <c r="O146" s="343">
        <v>185.15819672399226</v>
      </c>
      <c r="P146" s="343">
        <v>132.55556404775626</v>
      </c>
      <c r="Q146" s="343">
        <v>117.71531329365042</v>
      </c>
      <c r="R146" s="344">
        <v>0.63575534530142253</v>
      </c>
      <c r="S146" s="344">
        <v>0.91025143693194599</v>
      </c>
      <c r="T146" s="343">
        <v>257782.39999999999</v>
      </c>
      <c r="U146" s="342">
        <v>143715.9</v>
      </c>
      <c r="V146" s="342">
        <v>5243.63</v>
      </c>
      <c r="W146" s="344">
        <f t="shared" si="27"/>
        <v>3.6486081219962441E-2</v>
      </c>
      <c r="X146" s="342">
        <v>3476.84</v>
      </c>
      <c r="Y146" s="344">
        <f t="shared" si="28"/>
        <v>2.4192451913810514E-2</v>
      </c>
      <c r="Z146" s="342">
        <v>1630.14</v>
      </c>
      <c r="AA146" s="344">
        <f t="shared" si="20"/>
        <v>1.134279505607939E-2</v>
      </c>
      <c r="AB146" s="342">
        <v>11005.75</v>
      </c>
      <c r="AC146" s="344">
        <f t="shared" si="21"/>
        <v>7.65799052157764E-2</v>
      </c>
      <c r="AD146" s="342">
        <v>114066.5</v>
      </c>
      <c r="AE146" s="342">
        <v>4331.7700000000004</v>
      </c>
      <c r="AF146" s="344">
        <f t="shared" si="22"/>
        <v>3.7975829888705279E-2</v>
      </c>
      <c r="AG146" s="342">
        <v>3662.53</v>
      </c>
      <c r="AH146" s="344">
        <f t="shared" si="23"/>
        <v>3.2108726050154954E-2</v>
      </c>
      <c r="AI146" s="342">
        <v>5528.09</v>
      </c>
      <c r="AJ146" s="344">
        <f t="shared" si="24"/>
        <v>4.8463747024761875E-2</v>
      </c>
      <c r="AK146" s="342">
        <v>87565.39</v>
      </c>
      <c r="AL146" s="784">
        <f t="shared" si="25"/>
        <v>0.76766964884519118</v>
      </c>
      <c r="AM146" s="350">
        <v>42.562566171187648</v>
      </c>
      <c r="AN146" s="350">
        <v>24.973815920989967</v>
      </c>
      <c r="AO146" s="350">
        <v>377.84265734265739</v>
      </c>
      <c r="AP146" s="639">
        <f t="shared" si="26"/>
        <v>2.4395875758089786E-2</v>
      </c>
    </row>
    <row r="147" spans="1:42" x14ac:dyDescent="0.2">
      <c r="A147" s="638">
        <v>42430</v>
      </c>
      <c r="B147" s="341" t="s">
        <v>137</v>
      </c>
      <c r="C147" s="351" t="s">
        <v>204</v>
      </c>
      <c r="D147" s="342">
        <v>56148.139999786399</v>
      </c>
      <c r="E147" s="342">
        <v>3806</v>
      </c>
      <c r="F147" s="342">
        <v>52342.139999786399</v>
      </c>
      <c r="G147" s="342">
        <v>28301.7999358177</v>
      </c>
      <c r="H147" s="342">
        <v>11808.489947795901</v>
      </c>
      <c r="I147" s="342">
        <v>16493.309988021902</v>
      </c>
      <c r="J147" s="342">
        <v>155</v>
      </c>
      <c r="K147" s="343">
        <v>28146.799935817802</v>
      </c>
      <c r="L147" s="342">
        <v>11326.5200843811</v>
      </c>
      <c r="M147" s="342">
        <v>381</v>
      </c>
      <c r="N147" s="354">
        <v>329</v>
      </c>
      <c r="O147" s="343">
        <v>170.66303951302856</v>
      </c>
      <c r="P147" s="343">
        <v>135.07787208329879</v>
      </c>
      <c r="Q147" s="343">
        <v>86.023708011604256</v>
      </c>
      <c r="R147" s="344">
        <v>0.50405587675612173</v>
      </c>
      <c r="S147" s="344">
        <v>0.63907426360701503</v>
      </c>
      <c r="T147" s="343">
        <v>41980.35</v>
      </c>
      <c r="U147" s="342">
        <v>36694</v>
      </c>
      <c r="V147" s="342">
        <v>150</v>
      </c>
      <c r="W147" s="344">
        <f t="shared" si="27"/>
        <v>4.0878617757671553E-3</v>
      </c>
      <c r="X147" s="342">
        <v>0</v>
      </c>
      <c r="Y147" s="344">
        <f t="shared" si="28"/>
        <v>0</v>
      </c>
      <c r="Z147" s="342">
        <v>0</v>
      </c>
      <c r="AA147" s="344">
        <f t="shared" si="20"/>
        <v>0</v>
      </c>
      <c r="AB147" s="342">
        <v>0</v>
      </c>
      <c r="AC147" s="344">
        <f t="shared" si="21"/>
        <v>0</v>
      </c>
      <c r="AD147" s="342">
        <v>5286.35</v>
      </c>
      <c r="AE147" s="342">
        <v>525</v>
      </c>
      <c r="AF147" s="344">
        <f t="shared" si="22"/>
        <v>9.9312379997540834E-2</v>
      </c>
      <c r="AG147" s="342">
        <v>0</v>
      </c>
      <c r="AH147" s="344">
        <f t="shared" si="23"/>
        <v>0</v>
      </c>
      <c r="AI147" s="342">
        <v>0</v>
      </c>
      <c r="AJ147" s="344">
        <f t="shared" si="24"/>
        <v>0</v>
      </c>
      <c r="AK147" s="342">
        <v>0</v>
      </c>
      <c r="AL147" s="784">
        <f t="shared" si="25"/>
        <v>0</v>
      </c>
      <c r="AM147" s="350">
        <v>28.367497255141583</v>
      </c>
      <c r="AN147" s="350">
        <v>26.921997082898407</v>
      </c>
      <c r="AO147" s="350">
        <v>45.221000230509873</v>
      </c>
      <c r="AP147" s="639">
        <f t="shared" si="26"/>
        <v>3.4878001318399562E-3</v>
      </c>
    </row>
    <row r="148" spans="1:42" x14ac:dyDescent="0.2">
      <c r="A148" s="638">
        <v>42430</v>
      </c>
      <c r="B148" s="341" t="s">
        <v>137</v>
      </c>
      <c r="C148" s="351" t="s">
        <v>205</v>
      </c>
      <c r="D148" s="342">
        <v>0</v>
      </c>
      <c r="E148" s="342">
        <v>0</v>
      </c>
      <c r="F148" s="342">
        <v>0</v>
      </c>
      <c r="G148" s="342">
        <v>467.710001945496</v>
      </c>
      <c r="H148" s="342">
        <v>0</v>
      </c>
      <c r="I148" s="342">
        <v>467.710001945496</v>
      </c>
      <c r="J148" s="342">
        <v>0</v>
      </c>
      <c r="K148" s="343">
        <v>467.710001945496</v>
      </c>
      <c r="L148" s="342">
        <v>0</v>
      </c>
      <c r="M148" s="342">
        <v>0</v>
      </c>
      <c r="N148" s="354">
        <v>0</v>
      </c>
      <c r="O148" s="343" t="s">
        <v>311</v>
      </c>
      <c r="P148" s="343" t="s">
        <v>311</v>
      </c>
      <c r="Q148" s="343" t="s">
        <v>311</v>
      </c>
      <c r="R148" s="344" t="s">
        <v>312</v>
      </c>
      <c r="S148" s="344" t="s">
        <v>312</v>
      </c>
      <c r="T148" s="343">
        <v>8999.58</v>
      </c>
      <c r="U148" s="342">
        <v>1017</v>
      </c>
      <c r="V148" s="342">
        <v>0</v>
      </c>
      <c r="W148" s="344">
        <f t="shared" si="27"/>
        <v>0</v>
      </c>
      <c r="X148" s="342">
        <v>0</v>
      </c>
      <c r="Y148" s="344">
        <f t="shared" si="28"/>
        <v>0</v>
      </c>
      <c r="Z148" s="342">
        <v>0</v>
      </c>
      <c r="AA148" s="344">
        <f t="shared" si="20"/>
        <v>0</v>
      </c>
      <c r="AB148" s="342">
        <v>1017</v>
      </c>
      <c r="AC148" s="344">
        <f t="shared" si="21"/>
        <v>1</v>
      </c>
      <c r="AD148" s="342">
        <v>7982.58</v>
      </c>
      <c r="AE148" s="342">
        <v>0</v>
      </c>
      <c r="AF148" s="344">
        <f t="shared" si="22"/>
        <v>0</v>
      </c>
      <c r="AG148" s="342">
        <v>0</v>
      </c>
      <c r="AH148" s="344">
        <f t="shared" si="23"/>
        <v>0</v>
      </c>
      <c r="AI148" s="342">
        <v>5.5</v>
      </c>
      <c r="AJ148" s="344">
        <f t="shared" si="24"/>
        <v>6.8900029814921988E-4</v>
      </c>
      <c r="AK148" s="342">
        <v>7977.08</v>
      </c>
      <c r="AL148" s="784">
        <f t="shared" si="25"/>
        <v>0.99931099970185078</v>
      </c>
      <c r="AM148" s="350" t="s">
        <v>313</v>
      </c>
      <c r="AN148" s="350" t="s">
        <v>313</v>
      </c>
      <c r="AO148" s="350" t="s">
        <v>313</v>
      </c>
      <c r="AP148" s="639" t="str">
        <f t="shared" si="26"/>
        <v>0.00%</v>
      </c>
    </row>
    <row r="149" spans="1:42" x14ac:dyDescent="0.2">
      <c r="A149" s="638">
        <v>42430</v>
      </c>
      <c r="B149" s="341" t="s">
        <v>137</v>
      </c>
      <c r="C149" s="351" t="s">
        <v>206</v>
      </c>
      <c r="D149" s="342">
        <v>217590.960002529</v>
      </c>
      <c r="E149" s="342">
        <v>9041</v>
      </c>
      <c r="F149" s="342">
        <v>208549.960002529</v>
      </c>
      <c r="G149" s="342">
        <v>137402.94987928899</v>
      </c>
      <c r="H149" s="342">
        <v>70100.649874687195</v>
      </c>
      <c r="I149" s="342">
        <v>67302.300004601493</v>
      </c>
      <c r="J149" s="342">
        <v>4314.8700056076104</v>
      </c>
      <c r="K149" s="343">
        <v>133088.07987368107</v>
      </c>
      <c r="L149" s="342">
        <v>63874.960121879398</v>
      </c>
      <c r="M149" s="342">
        <v>2005.3200092315701</v>
      </c>
      <c r="N149" s="354">
        <v>1091</v>
      </c>
      <c r="O149" s="343">
        <v>199.44175985566361</v>
      </c>
      <c r="P149" s="343">
        <v>139.05653517086898</v>
      </c>
      <c r="Q149" s="343">
        <v>125.94220887194196</v>
      </c>
      <c r="R149" s="344">
        <v>0.63147361396673685</v>
      </c>
      <c r="S149" s="344">
        <v>0.93220390731853708</v>
      </c>
      <c r="T149" s="343">
        <v>372874.45999999996</v>
      </c>
      <c r="U149" s="342">
        <v>192386.27</v>
      </c>
      <c r="V149" s="342">
        <v>6890.52</v>
      </c>
      <c r="W149" s="344">
        <f t="shared" si="27"/>
        <v>3.5816069410774483E-2</v>
      </c>
      <c r="X149" s="342">
        <v>4065.01</v>
      </c>
      <c r="Y149" s="344">
        <f t="shared" si="28"/>
        <v>2.1129418435109744E-2</v>
      </c>
      <c r="Z149" s="342">
        <v>7131.81</v>
      </c>
      <c r="AA149" s="344">
        <f t="shared" si="20"/>
        <v>3.7070264941463864E-2</v>
      </c>
      <c r="AB149" s="342">
        <v>16950.22</v>
      </c>
      <c r="AC149" s="344">
        <f t="shared" si="21"/>
        <v>8.8105143885787704E-2</v>
      </c>
      <c r="AD149" s="342">
        <v>180488.19</v>
      </c>
      <c r="AE149" s="342">
        <v>5470.02</v>
      </c>
      <c r="AF149" s="344">
        <f t="shared" si="22"/>
        <v>3.0306802899403004E-2</v>
      </c>
      <c r="AG149" s="342">
        <v>5933.83</v>
      </c>
      <c r="AH149" s="344">
        <f t="shared" si="23"/>
        <v>3.2876555524214632E-2</v>
      </c>
      <c r="AI149" s="342">
        <v>6369.5</v>
      </c>
      <c r="AJ149" s="344">
        <f t="shared" si="24"/>
        <v>3.5290397670894702E-2</v>
      </c>
      <c r="AK149" s="342">
        <v>145601</v>
      </c>
      <c r="AL149" s="784">
        <f t="shared" si="25"/>
        <v>0.80670652190594849</v>
      </c>
      <c r="AM149" s="350">
        <v>50.361466908753201</v>
      </c>
      <c r="AN149" s="350">
        <v>27.362458553053262</v>
      </c>
      <c r="AO149" s="350">
        <v>483.96904719342155</v>
      </c>
      <c r="AP149" s="639">
        <f t="shared" si="26"/>
        <v>2.8441438725768459E-2</v>
      </c>
    </row>
    <row r="150" spans="1:42" x14ac:dyDescent="0.2">
      <c r="A150" s="638">
        <v>42430</v>
      </c>
      <c r="B150" s="341" t="s">
        <v>137</v>
      </c>
      <c r="C150" s="351" t="s">
        <v>207</v>
      </c>
      <c r="D150" s="342">
        <v>0</v>
      </c>
      <c r="E150" s="342">
        <v>0</v>
      </c>
      <c r="F150" s="342">
        <v>0</v>
      </c>
      <c r="G150" s="342">
        <v>0</v>
      </c>
      <c r="H150" s="342">
        <v>0</v>
      </c>
      <c r="I150" s="342">
        <v>0</v>
      </c>
      <c r="J150" s="342">
        <v>0</v>
      </c>
      <c r="K150" s="343">
        <v>0</v>
      </c>
      <c r="L150" s="342">
        <v>0</v>
      </c>
      <c r="M150" s="342">
        <v>0</v>
      </c>
      <c r="N150" s="354">
        <v>0</v>
      </c>
      <c r="O150" s="343" t="s">
        <v>311</v>
      </c>
      <c r="P150" s="343" t="s">
        <v>311</v>
      </c>
      <c r="Q150" s="343" t="s">
        <v>311</v>
      </c>
      <c r="R150" s="344" t="s">
        <v>312</v>
      </c>
      <c r="S150" s="344" t="s">
        <v>312</v>
      </c>
      <c r="T150" s="343">
        <v>287.2</v>
      </c>
      <c r="U150" s="342">
        <v>0</v>
      </c>
      <c r="V150" s="342">
        <v>0</v>
      </c>
      <c r="W150" s="344" t="str">
        <f t="shared" si="27"/>
        <v>0.00%</v>
      </c>
      <c r="X150" s="342">
        <v>0</v>
      </c>
      <c r="Y150" s="344" t="str">
        <f t="shared" si="28"/>
        <v>0.00%</v>
      </c>
      <c r="Z150" s="342">
        <v>0</v>
      </c>
      <c r="AA150" s="344">
        <f t="shared" si="20"/>
        <v>0</v>
      </c>
      <c r="AB150" s="342">
        <v>0</v>
      </c>
      <c r="AC150" s="344" t="str">
        <f t="shared" si="21"/>
        <v>0.00%</v>
      </c>
      <c r="AD150" s="342">
        <v>287.2</v>
      </c>
      <c r="AE150" s="342">
        <v>0</v>
      </c>
      <c r="AF150" s="344">
        <f t="shared" si="22"/>
        <v>0</v>
      </c>
      <c r="AG150" s="342">
        <v>0</v>
      </c>
      <c r="AH150" s="344">
        <f t="shared" si="23"/>
        <v>0</v>
      </c>
      <c r="AI150" s="342">
        <v>0</v>
      </c>
      <c r="AJ150" s="344">
        <f t="shared" si="24"/>
        <v>0</v>
      </c>
      <c r="AK150" s="342">
        <v>287.2</v>
      </c>
      <c r="AL150" s="784">
        <f t="shared" si="25"/>
        <v>1</v>
      </c>
      <c r="AM150" s="350" t="s">
        <v>313</v>
      </c>
      <c r="AN150" s="350" t="s">
        <v>313</v>
      </c>
      <c r="AO150" s="350" t="s">
        <v>313</v>
      </c>
      <c r="AP150" s="639" t="str">
        <f t="shared" si="26"/>
        <v>0.00%</v>
      </c>
    </row>
    <row r="151" spans="1:42" x14ac:dyDescent="0.2">
      <c r="A151" s="638">
        <v>42430</v>
      </c>
      <c r="B151" s="341" t="s">
        <v>137</v>
      </c>
      <c r="C151" s="351" t="s">
        <v>208</v>
      </c>
      <c r="D151" s="342">
        <v>169900.33000146001</v>
      </c>
      <c r="E151" s="342">
        <v>8129</v>
      </c>
      <c r="F151" s="342">
        <v>161771.33000146001</v>
      </c>
      <c r="G151" s="342">
        <v>96460.359969347701</v>
      </c>
      <c r="H151" s="342">
        <v>50540.809971302697</v>
      </c>
      <c r="I151" s="342">
        <v>45919.549998044997</v>
      </c>
      <c r="J151" s="342">
        <v>2274.2099971771199</v>
      </c>
      <c r="K151" s="343">
        <v>94186.149972170562</v>
      </c>
      <c r="L151" s="342">
        <v>52599.400043875001</v>
      </c>
      <c r="M151" s="342">
        <v>1491.2499961853</v>
      </c>
      <c r="N151" s="354">
        <v>925</v>
      </c>
      <c r="O151" s="343">
        <v>183.67603243401084</v>
      </c>
      <c r="P151" s="343">
        <v>125.199654012324</v>
      </c>
      <c r="Q151" s="343">
        <v>104.28147023713264</v>
      </c>
      <c r="R151" s="344">
        <v>0.56774674874686104</v>
      </c>
      <c r="S151" s="344">
        <v>0.84960550213730024</v>
      </c>
      <c r="T151" s="343">
        <v>302284.43</v>
      </c>
      <c r="U151" s="342">
        <v>158175.18</v>
      </c>
      <c r="V151" s="342">
        <v>7046.11</v>
      </c>
      <c r="W151" s="344">
        <f t="shared" si="27"/>
        <v>4.4546242969345756E-2</v>
      </c>
      <c r="X151" s="342">
        <v>1743.55</v>
      </c>
      <c r="Y151" s="344">
        <f t="shared" si="28"/>
        <v>1.1022905110650103E-2</v>
      </c>
      <c r="Z151" s="342">
        <v>2808.16</v>
      </c>
      <c r="AA151" s="344">
        <f t="shared" si="20"/>
        <v>1.7753480666182899E-2</v>
      </c>
      <c r="AB151" s="342">
        <v>16525.7</v>
      </c>
      <c r="AC151" s="344">
        <f t="shared" si="21"/>
        <v>0.10447720053171428</v>
      </c>
      <c r="AD151" s="342">
        <v>144109.25</v>
      </c>
      <c r="AE151" s="342">
        <v>4793.5</v>
      </c>
      <c r="AF151" s="344">
        <f t="shared" si="22"/>
        <v>3.3262958484621907E-2</v>
      </c>
      <c r="AG151" s="342">
        <v>4417.46</v>
      </c>
      <c r="AH151" s="344">
        <f t="shared" si="23"/>
        <v>3.0653549303740046E-2</v>
      </c>
      <c r="AI151" s="342">
        <v>5769.96</v>
      </c>
      <c r="AJ151" s="344">
        <f t="shared" si="24"/>
        <v>4.0038790015214154E-2</v>
      </c>
      <c r="AK151" s="342">
        <v>115982.65</v>
      </c>
      <c r="AL151" s="784">
        <f t="shared" si="25"/>
        <v>0.80482446477238623</v>
      </c>
      <c r="AM151" s="350">
        <v>59.621673794426805</v>
      </c>
      <c r="AN151" s="350">
        <v>32.97485262480113</v>
      </c>
      <c r="AO151" s="350">
        <v>527.4862737920937</v>
      </c>
      <c r="AP151" s="639">
        <f t="shared" si="26"/>
        <v>1.963747760925626E-2</v>
      </c>
    </row>
    <row r="152" spans="1:42" x14ac:dyDescent="0.2">
      <c r="A152" s="638">
        <v>42461</v>
      </c>
      <c r="B152" s="341" t="s">
        <v>133</v>
      </c>
      <c r="C152" s="351" t="s">
        <v>161</v>
      </c>
      <c r="D152" s="342">
        <v>0</v>
      </c>
      <c r="E152" s="342">
        <v>0</v>
      </c>
      <c r="F152" s="342">
        <v>0</v>
      </c>
      <c r="G152" s="342">
        <v>58.829999923705998</v>
      </c>
      <c r="H152" s="342">
        <v>8.8299999237059996</v>
      </c>
      <c r="I152" s="342">
        <v>50</v>
      </c>
      <c r="J152" s="342">
        <v>0</v>
      </c>
      <c r="K152" s="343">
        <v>58.829999923705998</v>
      </c>
      <c r="L152" s="342">
        <v>0</v>
      </c>
      <c r="M152" s="342">
        <v>0</v>
      </c>
      <c r="N152" s="354">
        <v>0</v>
      </c>
      <c r="O152" s="343" t="s">
        <v>311</v>
      </c>
      <c r="P152" s="343" t="s">
        <v>311</v>
      </c>
      <c r="Q152" s="343" t="s">
        <v>311</v>
      </c>
      <c r="R152" s="344" t="s">
        <v>312</v>
      </c>
      <c r="S152" s="344" t="s">
        <v>312</v>
      </c>
      <c r="T152" s="343">
        <v>1926.24</v>
      </c>
      <c r="U152" s="342">
        <v>-333.49</v>
      </c>
      <c r="V152" s="342">
        <v>0</v>
      </c>
      <c r="W152" s="344">
        <v>0</v>
      </c>
      <c r="X152" s="342">
        <v>0</v>
      </c>
      <c r="Y152" s="344">
        <f t="shared" si="28"/>
        <v>0</v>
      </c>
      <c r="Z152" s="342">
        <v>0</v>
      </c>
      <c r="AA152" s="344">
        <f t="shared" si="20"/>
        <v>0</v>
      </c>
      <c r="AB152" s="342">
        <v>-333.49</v>
      </c>
      <c r="AC152" s="344">
        <v>0</v>
      </c>
      <c r="AD152" s="342">
        <v>2259.73</v>
      </c>
      <c r="AE152" s="342">
        <v>0</v>
      </c>
      <c r="AF152" s="344">
        <f t="shared" si="22"/>
        <v>0</v>
      </c>
      <c r="AG152" s="342">
        <v>0</v>
      </c>
      <c r="AH152" s="344">
        <f t="shared" si="23"/>
        <v>0</v>
      </c>
      <c r="AI152" s="342">
        <v>0</v>
      </c>
      <c r="AJ152" s="344">
        <f t="shared" si="24"/>
        <v>0</v>
      </c>
      <c r="AK152" s="342">
        <v>2259.73</v>
      </c>
      <c r="AL152" s="784">
        <f t="shared" si="25"/>
        <v>1</v>
      </c>
      <c r="AM152" s="350" t="s">
        <v>313</v>
      </c>
      <c r="AN152" s="350" t="s">
        <v>313</v>
      </c>
      <c r="AO152" s="350" t="s">
        <v>313</v>
      </c>
      <c r="AP152" s="639" t="str">
        <f t="shared" si="26"/>
        <v>0.00%</v>
      </c>
    </row>
    <row r="153" spans="1:42" x14ac:dyDescent="0.2">
      <c r="A153" s="638">
        <v>42461</v>
      </c>
      <c r="B153" s="341" t="s">
        <v>133</v>
      </c>
      <c r="C153" s="351" t="s">
        <v>162</v>
      </c>
      <c r="D153" s="342">
        <v>167657.10000350868</v>
      </c>
      <c r="E153" s="342">
        <v>8338</v>
      </c>
      <c r="F153" s="342">
        <v>159319.10000350868</v>
      </c>
      <c r="G153" s="342">
        <v>133305.42988391171</v>
      </c>
      <c r="H153" s="342">
        <v>75517.709903433919</v>
      </c>
      <c r="I153" s="342">
        <v>57787.719980478301</v>
      </c>
      <c r="J153" s="342">
        <v>1475.43000650406</v>
      </c>
      <c r="K153" s="343">
        <v>131829.99987740815</v>
      </c>
      <c r="L153" s="342">
        <v>68883.120074922248</v>
      </c>
      <c r="M153" s="342">
        <v>2033.7799987793001</v>
      </c>
      <c r="N153" s="354">
        <v>921</v>
      </c>
      <c r="O153" s="343">
        <v>182.03811075299529</v>
      </c>
      <c r="P153" s="343">
        <v>105.03821925060493</v>
      </c>
      <c r="Q153" s="343">
        <v>144.73988043855832</v>
      </c>
      <c r="R153" s="344">
        <v>0.79510757302328638</v>
      </c>
      <c r="S153" s="344">
        <v>1.3993150877416214</v>
      </c>
      <c r="T153" s="343">
        <v>178201.85</v>
      </c>
      <c r="U153" s="342">
        <v>124293.95</v>
      </c>
      <c r="V153" s="342">
        <v>3943</v>
      </c>
      <c r="W153" s="344">
        <f t="shared" si="27"/>
        <v>3.1723185239506832E-2</v>
      </c>
      <c r="X153" s="342">
        <v>2921.23</v>
      </c>
      <c r="Y153" s="344">
        <f t="shared" si="28"/>
        <v>2.350259204088373E-2</v>
      </c>
      <c r="Z153" s="342">
        <v>3194.25</v>
      </c>
      <c r="AA153" s="344">
        <f t="shared" si="20"/>
        <v>2.5699159130432334E-2</v>
      </c>
      <c r="AB153" s="342">
        <v>17839.09</v>
      </c>
      <c r="AC153" s="344">
        <f t="shared" si="21"/>
        <v>0.14352339755877097</v>
      </c>
      <c r="AD153" s="342">
        <v>53907.9</v>
      </c>
      <c r="AE153" s="342">
        <v>5792.35</v>
      </c>
      <c r="AF153" s="344">
        <f t="shared" si="22"/>
        <v>0.10744900098130331</v>
      </c>
      <c r="AG153" s="342">
        <v>3948.28</v>
      </c>
      <c r="AH153" s="344">
        <f t="shared" si="23"/>
        <v>7.3241213254458065E-2</v>
      </c>
      <c r="AI153" s="342">
        <v>4837.28</v>
      </c>
      <c r="AJ153" s="344">
        <f t="shared" si="24"/>
        <v>8.9732302686619206E-2</v>
      </c>
      <c r="AK153" s="342">
        <v>24664.07</v>
      </c>
      <c r="AL153" s="784">
        <f t="shared" si="25"/>
        <v>0.45752236685161174</v>
      </c>
      <c r="AM153" s="350">
        <v>29.395252567041307</v>
      </c>
      <c r="AN153" s="350">
        <v>21.503276770643833</v>
      </c>
      <c r="AO153" s="350">
        <v>191.14017255643543</v>
      </c>
      <c r="AP153" s="639">
        <f t="shared" si="26"/>
        <v>1.5251467410389933E-2</v>
      </c>
    </row>
    <row r="154" spans="1:42" x14ac:dyDescent="0.2">
      <c r="A154" s="638">
        <v>42461</v>
      </c>
      <c r="B154" s="341" t="s">
        <v>133</v>
      </c>
      <c r="C154" s="351" t="s">
        <v>163</v>
      </c>
      <c r="D154" s="342">
        <v>0</v>
      </c>
      <c r="E154" s="342">
        <v>0</v>
      </c>
      <c r="F154" s="342">
        <v>0</v>
      </c>
      <c r="G154" s="342">
        <v>50.279998779296001</v>
      </c>
      <c r="H154" s="342">
        <v>0</v>
      </c>
      <c r="I154" s="342">
        <v>50.279998779296001</v>
      </c>
      <c r="J154" s="342">
        <v>0</v>
      </c>
      <c r="K154" s="343">
        <v>50.279998779296001</v>
      </c>
      <c r="L154" s="342">
        <v>0</v>
      </c>
      <c r="M154" s="342">
        <v>0</v>
      </c>
      <c r="N154" s="354">
        <v>0</v>
      </c>
      <c r="O154" s="343" t="s">
        <v>311</v>
      </c>
      <c r="P154" s="343" t="s">
        <v>311</v>
      </c>
      <c r="Q154" s="343" t="s">
        <v>311</v>
      </c>
      <c r="R154" s="344" t="s">
        <v>312</v>
      </c>
      <c r="S154" s="344" t="s">
        <v>312</v>
      </c>
      <c r="T154" s="343">
        <v>1401.43</v>
      </c>
      <c r="U154" s="342">
        <v>66</v>
      </c>
      <c r="V154" s="342">
        <v>0</v>
      </c>
      <c r="W154" s="344">
        <f t="shared" si="27"/>
        <v>0</v>
      </c>
      <c r="X154" s="342">
        <v>0</v>
      </c>
      <c r="Y154" s="344">
        <f t="shared" si="28"/>
        <v>0</v>
      </c>
      <c r="Z154" s="342">
        <v>0</v>
      </c>
      <c r="AA154" s="344">
        <f t="shared" si="20"/>
        <v>0</v>
      </c>
      <c r="AB154" s="342">
        <v>66</v>
      </c>
      <c r="AC154" s="344">
        <f t="shared" si="21"/>
        <v>1</v>
      </c>
      <c r="AD154" s="342">
        <v>1335.43</v>
      </c>
      <c r="AE154" s="342">
        <v>0</v>
      </c>
      <c r="AF154" s="344">
        <f t="shared" si="22"/>
        <v>0</v>
      </c>
      <c r="AG154" s="342">
        <v>0</v>
      </c>
      <c r="AH154" s="344">
        <f t="shared" si="23"/>
        <v>0</v>
      </c>
      <c r="AI154" s="342">
        <v>0</v>
      </c>
      <c r="AJ154" s="344">
        <f t="shared" si="24"/>
        <v>0</v>
      </c>
      <c r="AK154" s="342">
        <v>1335.43</v>
      </c>
      <c r="AL154" s="784">
        <f t="shared" si="25"/>
        <v>1</v>
      </c>
      <c r="AM154" s="350" t="s">
        <v>313</v>
      </c>
      <c r="AN154" s="350" t="s">
        <v>313</v>
      </c>
      <c r="AO154" s="350" t="s">
        <v>313</v>
      </c>
      <c r="AP154" s="639" t="str">
        <f t="shared" si="26"/>
        <v>0.00%</v>
      </c>
    </row>
    <row r="155" spans="1:42" x14ac:dyDescent="0.2">
      <c r="A155" s="638">
        <v>42461</v>
      </c>
      <c r="B155" s="341" t="s">
        <v>133</v>
      </c>
      <c r="C155" s="351" t="s">
        <v>164</v>
      </c>
      <c r="D155" s="342">
        <v>177490.29000572101</v>
      </c>
      <c r="E155" s="342">
        <v>9829</v>
      </c>
      <c r="F155" s="342">
        <v>167661.29000572101</v>
      </c>
      <c r="G155" s="342">
        <v>134714.97982066899</v>
      </c>
      <c r="H155" s="342">
        <v>74224.889796674295</v>
      </c>
      <c r="I155" s="342">
        <v>60490.090023994402</v>
      </c>
      <c r="J155" s="342">
        <v>1288.7699954509701</v>
      </c>
      <c r="K155" s="343">
        <v>133426.20982521772</v>
      </c>
      <c r="L155" s="342">
        <v>72851.100146958604</v>
      </c>
      <c r="M155" s="342">
        <v>368.77999877929699</v>
      </c>
      <c r="N155" s="354">
        <v>881</v>
      </c>
      <c r="O155" s="343">
        <v>201.46457435382635</v>
      </c>
      <c r="P155" s="343">
        <v>118.35460824061646</v>
      </c>
      <c r="Q155" s="343">
        <v>152.91144134014607</v>
      </c>
      <c r="R155" s="344">
        <v>0.75899915322875666</v>
      </c>
      <c r="S155" s="344">
        <v>1.308145607293498</v>
      </c>
      <c r="T155" s="343">
        <v>182597.15</v>
      </c>
      <c r="U155" s="342">
        <v>139461.69</v>
      </c>
      <c r="V155" s="342">
        <v>3193.6</v>
      </c>
      <c r="W155" s="344">
        <f t="shared" si="27"/>
        <v>2.2899478702717569E-2</v>
      </c>
      <c r="X155" s="342">
        <v>3551.84</v>
      </c>
      <c r="Y155" s="344">
        <f t="shared" si="28"/>
        <v>2.5468212811704777E-2</v>
      </c>
      <c r="Z155" s="342">
        <v>1070.1500000000001</v>
      </c>
      <c r="AA155" s="344">
        <f t="shared" si="20"/>
        <v>7.673433471227834E-3</v>
      </c>
      <c r="AB155" s="342">
        <v>24054.87</v>
      </c>
      <c r="AC155" s="344">
        <f t="shared" si="21"/>
        <v>0.17248371219364972</v>
      </c>
      <c r="AD155" s="342">
        <v>43135.46</v>
      </c>
      <c r="AE155" s="342">
        <v>3439.51</v>
      </c>
      <c r="AF155" s="344">
        <f t="shared" si="22"/>
        <v>7.9737413255822481E-2</v>
      </c>
      <c r="AG155" s="342">
        <v>2782.02</v>
      </c>
      <c r="AH155" s="344">
        <f t="shared" si="23"/>
        <v>6.4494965395060125E-2</v>
      </c>
      <c r="AI155" s="342">
        <v>4149.07</v>
      </c>
      <c r="AJ155" s="344">
        <f t="shared" si="24"/>
        <v>9.6186988616789981E-2</v>
      </c>
      <c r="AK155" s="342">
        <v>20692.71</v>
      </c>
      <c r="AL155" s="784">
        <f t="shared" si="25"/>
        <v>0.47971460139755084</v>
      </c>
      <c r="AM155" s="350">
        <v>29.371419821464677</v>
      </c>
      <c r="AN155" s="350">
        <v>24.009988028914751</v>
      </c>
      <c r="AO155" s="350">
        <v>105.6349868030802</v>
      </c>
      <c r="AP155" s="639">
        <f t="shared" si="26"/>
        <v>1.2359882321183568E-2</v>
      </c>
    </row>
    <row r="156" spans="1:42" x14ac:dyDescent="0.2">
      <c r="A156" s="638">
        <v>42461</v>
      </c>
      <c r="B156" s="341" t="s">
        <v>133</v>
      </c>
      <c r="C156" s="351" t="s">
        <v>165</v>
      </c>
      <c r="D156" s="342">
        <v>0</v>
      </c>
      <c r="E156" s="342">
        <v>0</v>
      </c>
      <c r="F156" s="342">
        <v>0</v>
      </c>
      <c r="G156" s="342">
        <v>0</v>
      </c>
      <c r="H156" s="342">
        <v>0</v>
      </c>
      <c r="I156" s="342">
        <v>0</v>
      </c>
      <c r="J156" s="342">
        <v>0</v>
      </c>
      <c r="K156" s="343">
        <v>0</v>
      </c>
      <c r="L156" s="342">
        <v>0</v>
      </c>
      <c r="M156" s="342">
        <v>0</v>
      </c>
      <c r="N156" s="354">
        <v>0</v>
      </c>
      <c r="O156" s="343" t="s">
        <v>311</v>
      </c>
      <c r="P156" s="343" t="s">
        <v>311</v>
      </c>
      <c r="Q156" s="343" t="s">
        <v>311</v>
      </c>
      <c r="R156" s="344" t="s">
        <v>312</v>
      </c>
      <c r="S156" s="344" t="s">
        <v>312</v>
      </c>
      <c r="T156" s="343">
        <v>1051.03</v>
      </c>
      <c r="U156" s="342">
        <v>1123</v>
      </c>
      <c r="V156" s="342">
        <v>0</v>
      </c>
      <c r="W156" s="344">
        <f t="shared" si="27"/>
        <v>0</v>
      </c>
      <c r="X156" s="342">
        <v>0</v>
      </c>
      <c r="Y156" s="344">
        <f t="shared" si="28"/>
        <v>0</v>
      </c>
      <c r="Z156" s="342">
        <v>0</v>
      </c>
      <c r="AA156" s="344">
        <f t="shared" si="20"/>
        <v>0</v>
      </c>
      <c r="AB156" s="342">
        <v>1123</v>
      </c>
      <c r="AC156" s="344">
        <f t="shared" si="21"/>
        <v>1</v>
      </c>
      <c r="AD156" s="342">
        <v>-71.97</v>
      </c>
      <c r="AE156" s="342">
        <v>0</v>
      </c>
      <c r="AF156" s="344">
        <f t="shared" si="22"/>
        <v>0</v>
      </c>
      <c r="AG156" s="342">
        <v>0</v>
      </c>
      <c r="AH156" s="344">
        <f t="shared" si="23"/>
        <v>0</v>
      </c>
      <c r="AI156" s="342">
        <v>0</v>
      </c>
      <c r="AJ156" s="344">
        <f t="shared" si="24"/>
        <v>0</v>
      </c>
      <c r="AK156" s="342">
        <v>-71.97</v>
      </c>
      <c r="AL156" s="784">
        <f t="shared" si="25"/>
        <v>1</v>
      </c>
      <c r="AM156" s="350" t="s">
        <v>313</v>
      </c>
      <c r="AN156" s="350" t="s">
        <v>313</v>
      </c>
      <c r="AO156" s="350" t="s">
        <v>313</v>
      </c>
      <c r="AP156" s="639" t="str">
        <f t="shared" si="26"/>
        <v>0.00%</v>
      </c>
    </row>
    <row r="157" spans="1:42" x14ac:dyDescent="0.2">
      <c r="A157" s="638">
        <v>42461</v>
      </c>
      <c r="B157" s="341" t="s">
        <v>133</v>
      </c>
      <c r="C157" s="351" t="s">
        <v>166</v>
      </c>
      <c r="D157" s="342">
        <v>386754.50001281302</v>
      </c>
      <c r="E157" s="342">
        <v>21490</v>
      </c>
      <c r="F157" s="342">
        <v>365264.50001281302</v>
      </c>
      <c r="G157" s="342">
        <v>282944.129727719</v>
      </c>
      <c r="H157" s="342">
        <v>151380.60967671699</v>
      </c>
      <c r="I157" s="342">
        <v>131563.520051003</v>
      </c>
      <c r="J157" s="342">
        <v>1467.8800040855999</v>
      </c>
      <c r="K157" s="343">
        <v>281476.24972363439</v>
      </c>
      <c r="L157" s="342">
        <v>158689.980279954</v>
      </c>
      <c r="M157" s="342">
        <v>1766.47999954224</v>
      </c>
      <c r="N157" s="354">
        <v>1883</v>
      </c>
      <c r="O157" s="343">
        <v>205.39272438280034</v>
      </c>
      <c r="P157" s="343">
        <v>120.17952189767222</v>
      </c>
      <c r="Q157" s="343">
        <v>150.26241621227828</v>
      </c>
      <c r="R157" s="344">
        <v>0.73158587610059134</v>
      </c>
      <c r="S157" s="344">
        <v>1.258479423172038</v>
      </c>
      <c r="T157" s="343">
        <v>365998.1</v>
      </c>
      <c r="U157" s="342">
        <v>259107.07</v>
      </c>
      <c r="V157" s="342">
        <v>6484.97</v>
      </c>
      <c r="W157" s="344">
        <f t="shared" si="27"/>
        <v>2.5028147630244132E-2</v>
      </c>
      <c r="X157" s="342">
        <v>4202.18</v>
      </c>
      <c r="Y157" s="344">
        <f t="shared" si="28"/>
        <v>1.6217928750458258E-2</v>
      </c>
      <c r="Z157" s="342">
        <v>4237.8500000000004</v>
      </c>
      <c r="AA157" s="344">
        <f t="shared" si="20"/>
        <v>1.635559384774796E-2</v>
      </c>
      <c r="AB157" s="342">
        <v>21208.97</v>
      </c>
      <c r="AC157" s="344">
        <f t="shared" si="21"/>
        <v>8.1854076772200773E-2</v>
      </c>
      <c r="AD157" s="342">
        <v>106891.03</v>
      </c>
      <c r="AE157" s="342">
        <v>7785.82</v>
      </c>
      <c r="AF157" s="344">
        <f t="shared" si="22"/>
        <v>7.2838852801773921E-2</v>
      </c>
      <c r="AG157" s="342">
        <v>9867.75</v>
      </c>
      <c r="AH157" s="344">
        <f t="shared" si="23"/>
        <v>9.2315978244385893E-2</v>
      </c>
      <c r="AI157" s="342">
        <v>8118.7</v>
      </c>
      <c r="AJ157" s="344">
        <f t="shared" si="24"/>
        <v>7.5953052374927998E-2</v>
      </c>
      <c r="AK157" s="342">
        <v>53285.51</v>
      </c>
      <c r="AL157" s="784">
        <f t="shared" si="25"/>
        <v>0.49850310171021839</v>
      </c>
      <c r="AM157" s="350">
        <v>28.391926707143785</v>
      </c>
      <c r="AN157" s="350">
        <v>21.159237138736906</v>
      </c>
      <c r="AO157" s="350">
        <v>165.63407482653537</v>
      </c>
      <c r="AP157" s="639">
        <f t="shared" si="26"/>
        <v>6.4864901428904912E-3</v>
      </c>
    </row>
    <row r="158" spans="1:42" x14ac:dyDescent="0.2">
      <c r="A158" s="638">
        <v>42461</v>
      </c>
      <c r="B158" s="341" t="s">
        <v>133</v>
      </c>
      <c r="C158" s="351" t="s">
        <v>167</v>
      </c>
      <c r="D158" s="342">
        <v>0</v>
      </c>
      <c r="E158" s="342">
        <v>0</v>
      </c>
      <c r="F158" s="342">
        <v>0</v>
      </c>
      <c r="G158" s="342">
        <v>1442.76999664307</v>
      </c>
      <c r="H158" s="342">
        <v>409.709999084473</v>
      </c>
      <c r="I158" s="342">
        <v>1033.0599975585901</v>
      </c>
      <c r="J158" s="342">
        <v>0</v>
      </c>
      <c r="K158" s="343">
        <v>1442.7699966430632</v>
      </c>
      <c r="L158" s="342">
        <v>208.43999862670901</v>
      </c>
      <c r="M158" s="342">
        <v>83</v>
      </c>
      <c r="N158" s="354">
        <v>0</v>
      </c>
      <c r="O158" s="343" t="s">
        <v>311</v>
      </c>
      <c r="P158" s="343" t="s">
        <v>311</v>
      </c>
      <c r="Q158" s="343" t="s">
        <v>311</v>
      </c>
      <c r="R158" s="344" t="s">
        <v>312</v>
      </c>
      <c r="S158" s="344">
        <v>-4.950487247603359</v>
      </c>
      <c r="T158" s="343">
        <v>11652.58</v>
      </c>
      <c r="U158" s="342">
        <v>1659.09</v>
      </c>
      <c r="V158" s="342">
        <v>0</v>
      </c>
      <c r="W158" s="344">
        <f t="shared" si="27"/>
        <v>0</v>
      </c>
      <c r="X158" s="342">
        <v>0</v>
      </c>
      <c r="Y158" s="344">
        <f t="shared" si="28"/>
        <v>0</v>
      </c>
      <c r="Z158" s="342">
        <v>540</v>
      </c>
      <c r="AA158" s="344">
        <f t="shared" si="20"/>
        <v>0.32547963039979749</v>
      </c>
      <c r="AB158" s="342">
        <v>1119.0899999999999</v>
      </c>
      <c r="AC158" s="344">
        <f t="shared" si="21"/>
        <v>0.67452036960020245</v>
      </c>
      <c r="AD158" s="342">
        <v>9993.49</v>
      </c>
      <c r="AE158" s="342">
        <v>0</v>
      </c>
      <c r="AF158" s="344">
        <f t="shared" si="22"/>
        <v>0</v>
      </c>
      <c r="AG158" s="342">
        <v>0</v>
      </c>
      <c r="AH158" s="344">
        <f t="shared" si="23"/>
        <v>0</v>
      </c>
      <c r="AI158" s="342">
        <v>640.96</v>
      </c>
      <c r="AJ158" s="344">
        <f t="shared" si="24"/>
        <v>6.4137753677644155E-2</v>
      </c>
      <c r="AK158" s="342">
        <v>9352.5300000000007</v>
      </c>
      <c r="AL158" s="784">
        <f t="shared" si="25"/>
        <v>0.93586224632235593</v>
      </c>
      <c r="AM158" s="350" t="s">
        <v>313</v>
      </c>
      <c r="AN158" s="350" t="s">
        <v>313</v>
      </c>
      <c r="AO158" s="350" t="s">
        <v>313</v>
      </c>
      <c r="AP158" s="639">
        <f t="shared" si="26"/>
        <v>0</v>
      </c>
    </row>
    <row r="159" spans="1:42" x14ac:dyDescent="0.2">
      <c r="A159" s="638">
        <v>42461</v>
      </c>
      <c r="B159" s="341" t="s">
        <v>133</v>
      </c>
      <c r="C159" s="351" t="s">
        <v>168</v>
      </c>
      <c r="D159" s="342">
        <v>0</v>
      </c>
      <c r="E159" s="342">
        <v>0</v>
      </c>
      <c r="F159" s="342">
        <v>0</v>
      </c>
      <c r="G159" s="342">
        <v>10</v>
      </c>
      <c r="H159" s="342">
        <v>0</v>
      </c>
      <c r="I159" s="342">
        <v>10</v>
      </c>
      <c r="J159" s="342">
        <v>0</v>
      </c>
      <c r="K159" s="343">
        <v>10</v>
      </c>
      <c r="L159" s="342">
        <v>0</v>
      </c>
      <c r="M159" s="342">
        <v>0</v>
      </c>
      <c r="N159" s="354">
        <v>0</v>
      </c>
      <c r="O159" s="343" t="s">
        <v>311</v>
      </c>
      <c r="P159" s="343" t="s">
        <v>311</v>
      </c>
      <c r="Q159" s="343" t="s">
        <v>311</v>
      </c>
      <c r="R159" s="344" t="s">
        <v>312</v>
      </c>
      <c r="S159" s="344" t="s">
        <v>312</v>
      </c>
      <c r="T159" s="343">
        <v>0</v>
      </c>
      <c r="U159" s="342">
        <v>0</v>
      </c>
      <c r="V159" s="342">
        <v>0</v>
      </c>
      <c r="W159" s="344" t="str">
        <f t="shared" si="27"/>
        <v>0.00%</v>
      </c>
      <c r="X159" s="342">
        <v>0</v>
      </c>
      <c r="Y159" s="344" t="str">
        <f t="shared" si="28"/>
        <v>0.00%</v>
      </c>
      <c r="Z159" s="342">
        <v>0</v>
      </c>
      <c r="AA159" s="344">
        <f t="shared" si="20"/>
        <v>0</v>
      </c>
      <c r="AB159" s="342">
        <v>0</v>
      </c>
      <c r="AC159" s="344" t="str">
        <f t="shared" si="21"/>
        <v>0.00%</v>
      </c>
      <c r="AD159" s="342">
        <v>0</v>
      </c>
      <c r="AE159" s="342">
        <v>0</v>
      </c>
      <c r="AF159" s="344" t="str">
        <f t="shared" si="22"/>
        <v>0.00%</v>
      </c>
      <c r="AG159" s="342">
        <v>0</v>
      </c>
      <c r="AH159" s="344" t="str">
        <f t="shared" si="23"/>
        <v>0.00%</v>
      </c>
      <c r="AI159" s="342">
        <v>0</v>
      </c>
      <c r="AJ159" s="344">
        <f t="shared" si="24"/>
        <v>0</v>
      </c>
      <c r="AK159" s="342">
        <v>0</v>
      </c>
      <c r="AL159" s="784" t="str">
        <f t="shared" si="25"/>
        <v>0.00%</v>
      </c>
      <c r="AM159" s="350" t="s">
        <v>313</v>
      </c>
      <c r="AN159" s="350" t="s">
        <v>313</v>
      </c>
      <c r="AO159" s="350" t="s">
        <v>313</v>
      </c>
      <c r="AP159" s="639" t="str">
        <f t="shared" si="26"/>
        <v>0.00%</v>
      </c>
    </row>
    <row r="160" spans="1:42" x14ac:dyDescent="0.2">
      <c r="A160" s="638">
        <v>42461</v>
      </c>
      <c r="B160" s="341" t="s">
        <v>133</v>
      </c>
      <c r="C160" s="351" t="s">
        <v>169</v>
      </c>
      <c r="D160" s="342">
        <v>253213.35001033399</v>
      </c>
      <c r="E160" s="342">
        <v>12235.0099999998</v>
      </c>
      <c r="F160" s="342">
        <v>240978.34001033401</v>
      </c>
      <c r="G160" s="342">
        <v>183443.90980251101</v>
      </c>
      <c r="H160" s="342">
        <v>103942.54983015401</v>
      </c>
      <c r="I160" s="342">
        <v>79501.359972357794</v>
      </c>
      <c r="J160" s="342">
        <v>1536.26999726892</v>
      </c>
      <c r="K160" s="343">
        <v>181907.63980524288</v>
      </c>
      <c r="L160" s="342">
        <v>104666.590392567</v>
      </c>
      <c r="M160" s="342">
        <v>1666</v>
      </c>
      <c r="N160" s="354">
        <v>1239</v>
      </c>
      <c r="O160" s="343">
        <v>204.36912833763827</v>
      </c>
      <c r="P160" s="343">
        <v>118.54782858576823</v>
      </c>
      <c r="Q160" s="343">
        <v>148.05803858152689</v>
      </c>
      <c r="R160" s="344">
        <v>0.72446381596793896</v>
      </c>
      <c r="S160" s="344">
        <v>1.2621318515857978</v>
      </c>
      <c r="T160" s="343">
        <v>267144.93</v>
      </c>
      <c r="U160" s="342">
        <v>193242.93</v>
      </c>
      <c r="V160" s="342">
        <v>4437.99</v>
      </c>
      <c r="W160" s="344">
        <f t="shared" si="27"/>
        <v>2.2965859604798994E-2</v>
      </c>
      <c r="X160" s="342">
        <v>1912.68</v>
      </c>
      <c r="Y160" s="344">
        <f t="shared" si="28"/>
        <v>9.8978006595118392E-3</v>
      </c>
      <c r="Z160" s="342">
        <v>2866.14</v>
      </c>
      <c r="AA160" s="344">
        <f t="shared" si="20"/>
        <v>1.4831797468605967E-2</v>
      </c>
      <c r="AB160" s="342">
        <v>17029.21</v>
      </c>
      <c r="AC160" s="344">
        <f t="shared" si="21"/>
        <v>8.8123327461449685E-2</v>
      </c>
      <c r="AD160" s="342">
        <v>73902</v>
      </c>
      <c r="AE160" s="342">
        <v>8048.87</v>
      </c>
      <c r="AF160" s="344">
        <f t="shared" si="22"/>
        <v>0.1089127493166626</v>
      </c>
      <c r="AG160" s="342">
        <v>10304.66</v>
      </c>
      <c r="AH160" s="344">
        <f t="shared" si="23"/>
        <v>0.13943682173689481</v>
      </c>
      <c r="AI160" s="342">
        <v>4643.01</v>
      </c>
      <c r="AJ160" s="344">
        <f t="shared" si="24"/>
        <v>6.2826581148006821E-2</v>
      </c>
      <c r="AK160" s="342">
        <v>29933.39</v>
      </c>
      <c r="AL160" s="784">
        <f t="shared" si="25"/>
        <v>0.40504167681524178</v>
      </c>
      <c r="AM160" s="350">
        <v>30.061272220083367</v>
      </c>
      <c r="AN160" s="350">
        <v>22.711120070991754</v>
      </c>
      <c r="AO160" s="350">
        <v>195.53661751091767</v>
      </c>
      <c r="AP160" s="639">
        <f t="shared" si="26"/>
        <v>1.0459300464314113E-2</v>
      </c>
    </row>
    <row r="161" spans="1:42" x14ac:dyDescent="0.2">
      <c r="A161" s="638">
        <v>42461</v>
      </c>
      <c r="B161" s="341" t="s">
        <v>133</v>
      </c>
      <c r="C161" s="351" t="s">
        <v>170</v>
      </c>
      <c r="D161" s="342">
        <v>0</v>
      </c>
      <c r="E161" s="342">
        <v>0</v>
      </c>
      <c r="F161" s="342">
        <v>0</v>
      </c>
      <c r="G161" s="342">
        <v>0</v>
      </c>
      <c r="H161" s="342">
        <v>0</v>
      </c>
      <c r="I161" s="342">
        <v>0</v>
      </c>
      <c r="J161" s="342">
        <v>0</v>
      </c>
      <c r="K161" s="343">
        <v>0</v>
      </c>
      <c r="L161" s="342">
        <v>0</v>
      </c>
      <c r="M161" s="342">
        <v>0</v>
      </c>
      <c r="N161" s="354">
        <v>0</v>
      </c>
      <c r="O161" s="343" t="s">
        <v>311</v>
      </c>
      <c r="P161" s="343" t="s">
        <v>311</v>
      </c>
      <c r="Q161" s="343" t="s">
        <v>311</v>
      </c>
      <c r="R161" s="344" t="s">
        <v>312</v>
      </c>
      <c r="S161" s="344" t="s">
        <v>312</v>
      </c>
      <c r="T161" s="343">
        <v>0</v>
      </c>
      <c r="U161" s="342">
        <v>0</v>
      </c>
      <c r="V161" s="342">
        <v>0</v>
      </c>
      <c r="W161" s="344" t="str">
        <f t="shared" si="27"/>
        <v>0.00%</v>
      </c>
      <c r="X161" s="342">
        <v>0</v>
      </c>
      <c r="Y161" s="344" t="str">
        <f t="shared" si="28"/>
        <v>0.00%</v>
      </c>
      <c r="Z161" s="342">
        <v>0</v>
      </c>
      <c r="AA161" s="344">
        <f t="shared" si="20"/>
        <v>0</v>
      </c>
      <c r="AB161" s="342">
        <v>0</v>
      </c>
      <c r="AC161" s="344" t="str">
        <f t="shared" si="21"/>
        <v>0.00%</v>
      </c>
      <c r="AD161" s="342">
        <v>0</v>
      </c>
      <c r="AE161" s="342">
        <v>0</v>
      </c>
      <c r="AF161" s="344" t="str">
        <f t="shared" si="22"/>
        <v>0.00%</v>
      </c>
      <c r="AG161" s="342">
        <v>0</v>
      </c>
      <c r="AH161" s="344" t="str">
        <f t="shared" si="23"/>
        <v>0.00%</v>
      </c>
      <c r="AI161" s="342">
        <v>0</v>
      </c>
      <c r="AJ161" s="344">
        <f t="shared" si="24"/>
        <v>0</v>
      </c>
      <c r="AK161" s="342">
        <v>0</v>
      </c>
      <c r="AL161" s="784" t="str">
        <f t="shared" si="25"/>
        <v>0.00%</v>
      </c>
      <c r="AM161" s="350" t="s">
        <v>313</v>
      </c>
      <c r="AN161" s="350" t="s">
        <v>313</v>
      </c>
      <c r="AO161" s="350" t="s">
        <v>313</v>
      </c>
      <c r="AP161" s="639" t="str">
        <f t="shared" si="26"/>
        <v>0.00%</v>
      </c>
    </row>
    <row r="162" spans="1:42" x14ac:dyDescent="0.2">
      <c r="A162" s="638">
        <v>42461</v>
      </c>
      <c r="B162" s="341" t="s">
        <v>133</v>
      </c>
      <c r="C162" s="351" t="s">
        <v>171</v>
      </c>
      <c r="D162" s="342">
        <v>251469.71000920999</v>
      </c>
      <c r="E162" s="342">
        <v>12908</v>
      </c>
      <c r="F162" s="342">
        <v>238561.71000920999</v>
      </c>
      <c r="G162" s="342">
        <v>199798.48958872599</v>
      </c>
      <c r="H162" s="342">
        <v>121719.899606872</v>
      </c>
      <c r="I162" s="342">
        <v>78078.589981854006</v>
      </c>
      <c r="J162" s="342">
        <v>865.540001869202</v>
      </c>
      <c r="K162" s="343">
        <v>198932.94958685682</v>
      </c>
      <c r="L162" s="342">
        <v>115257.28030284301</v>
      </c>
      <c r="M162" s="342">
        <v>1409.4300003051801</v>
      </c>
      <c r="N162" s="354">
        <v>1398</v>
      </c>
      <c r="O162" s="343">
        <v>179.87819027840484</v>
      </c>
      <c r="P162" s="343">
        <v>96.42560780118869</v>
      </c>
      <c r="Q162" s="343">
        <v>142.9173745269857</v>
      </c>
      <c r="R162" s="344">
        <v>0.7945230842370975</v>
      </c>
      <c r="S162" s="344">
        <v>1.4917297224390453</v>
      </c>
      <c r="T162" s="343">
        <v>287167.19</v>
      </c>
      <c r="U162" s="342">
        <v>204073.98</v>
      </c>
      <c r="V162" s="342">
        <v>8790.61</v>
      </c>
      <c r="W162" s="344">
        <f t="shared" si="27"/>
        <v>4.307560424900813E-2</v>
      </c>
      <c r="X162" s="342">
        <v>3978.57</v>
      </c>
      <c r="Y162" s="344">
        <f t="shared" si="28"/>
        <v>1.9495724050660451E-2</v>
      </c>
      <c r="Z162" s="342">
        <v>6558.97</v>
      </c>
      <c r="AA162" s="344">
        <f t="shared" si="20"/>
        <v>3.214015819165187E-2</v>
      </c>
      <c r="AB162" s="342">
        <v>22494.73</v>
      </c>
      <c r="AC162" s="344">
        <f t="shared" si="21"/>
        <v>0.11022831034118116</v>
      </c>
      <c r="AD162" s="342">
        <v>83093.210000000006</v>
      </c>
      <c r="AE162" s="342">
        <v>9258.5499999999993</v>
      </c>
      <c r="AF162" s="344">
        <f t="shared" si="22"/>
        <v>0.111423665062404</v>
      </c>
      <c r="AG162" s="342">
        <v>6135.98</v>
      </c>
      <c r="AH162" s="344">
        <f t="shared" si="23"/>
        <v>7.3844541569642083E-2</v>
      </c>
      <c r="AI162" s="342">
        <v>6085.51</v>
      </c>
      <c r="AJ162" s="344">
        <f t="shared" si="24"/>
        <v>7.3237151386978547E-2</v>
      </c>
      <c r="AK162" s="342">
        <v>40172.26</v>
      </c>
      <c r="AL162" s="784">
        <f t="shared" si="25"/>
        <v>0.48346020089968844</v>
      </c>
      <c r="AM162" s="350">
        <v>31.771187947125831</v>
      </c>
      <c r="AN162" s="350">
        <v>23.768182878031883</v>
      </c>
      <c r="AO162" s="350">
        <v>183.59533793238901</v>
      </c>
      <c r="AP162" s="639">
        <f t="shared" si="26"/>
        <v>6.4207770135420849E-3</v>
      </c>
    </row>
    <row r="163" spans="1:42" x14ac:dyDescent="0.2">
      <c r="A163" s="638">
        <v>42461</v>
      </c>
      <c r="B163" s="341" t="s">
        <v>133</v>
      </c>
      <c r="C163" s="351" t="s">
        <v>172</v>
      </c>
      <c r="D163" s="342">
        <v>0</v>
      </c>
      <c r="E163" s="342">
        <v>0</v>
      </c>
      <c r="F163" s="342">
        <v>0</v>
      </c>
      <c r="G163" s="342">
        <v>0</v>
      </c>
      <c r="H163" s="342">
        <v>0</v>
      </c>
      <c r="I163" s="342">
        <v>0</v>
      </c>
      <c r="J163" s="342">
        <v>0</v>
      </c>
      <c r="K163" s="343">
        <v>0</v>
      </c>
      <c r="L163" s="342">
        <v>0</v>
      </c>
      <c r="M163" s="342">
        <v>0</v>
      </c>
      <c r="N163" s="354">
        <v>0</v>
      </c>
      <c r="O163" s="343" t="s">
        <v>311</v>
      </c>
      <c r="P163" s="343" t="s">
        <v>311</v>
      </c>
      <c r="Q163" s="343" t="s">
        <v>311</v>
      </c>
      <c r="R163" s="344" t="s">
        <v>312</v>
      </c>
      <c r="S163" s="344" t="s">
        <v>312</v>
      </c>
      <c r="T163" s="343">
        <v>157</v>
      </c>
      <c r="U163" s="342">
        <v>157</v>
      </c>
      <c r="V163" s="342">
        <v>0</v>
      </c>
      <c r="W163" s="344">
        <f t="shared" si="27"/>
        <v>0</v>
      </c>
      <c r="X163" s="342">
        <v>0</v>
      </c>
      <c r="Y163" s="344">
        <f t="shared" si="28"/>
        <v>0</v>
      </c>
      <c r="Z163" s="342">
        <v>0</v>
      </c>
      <c r="AA163" s="344">
        <f t="shared" si="20"/>
        <v>0</v>
      </c>
      <c r="AB163" s="342">
        <v>157</v>
      </c>
      <c r="AC163" s="344">
        <f t="shared" si="21"/>
        <v>1</v>
      </c>
      <c r="AD163" s="342">
        <v>0</v>
      </c>
      <c r="AE163" s="342">
        <v>0</v>
      </c>
      <c r="AF163" s="344" t="str">
        <f t="shared" si="22"/>
        <v>0.00%</v>
      </c>
      <c r="AG163" s="342">
        <v>0</v>
      </c>
      <c r="AH163" s="344" t="str">
        <f t="shared" si="23"/>
        <v>0.00%</v>
      </c>
      <c r="AI163" s="342">
        <v>0</v>
      </c>
      <c r="AJ163" s="344">
        <f t="shared" si="24"/>
        <v>0</v>
      </c>
      <c r="AK163" s="342">
        <v>0</v>
      </c>
      <c r="AL163" s="784" t="str">
        <f t="shared" si="25"/>
        <v>0.00%</v>
      </c>
      <c r="AM163" s="350" t="s">
        <v>313</v>
      </c>
      <c r="AN163" s="350" t="s">
        <v>313</v>
      </c>
      <c r="AO163" s="350" t="s">
        <v>313</v>
      </c>
      <c r="AP163" s="639" t="str">
        <f t="shared" si="26"/>
        <v>0.00%</v>
      </c>
    </row>
    <row r="164" spans="1:42" x14ac:dyDescent="0.2">
      <c r="A164" s="638">
        <v>42461</v>
      </c>
      <c r="B164" s="341" t="s">
        <v>133</v>
      </c>
      <c r="C164" s="351" t="s">
        <v>173</v>
      </c>
      <c r="D164" s="342">
        <v>262540.29000726301</v>
      </c>
      <c r="E164" s="342">
        <v>16758</v>
      </c>
      <c r="F164" s="342">
        <v>245782.29000726299</v>
      </c>
      <c r="G164" s="342">
        <v>191706.64968040999</v>
      </c>
      <c r="H164" s="342">
        <v>107521.4797065</v>
      </c>
      <c r="I164" s="342">
        <v>84185.169973909899</v>
      </c>
      <c r="J164" s="342">
        <v>1444.28000354767</v>
      </c>
      <c r="K164" s="343">
        <v>190262.36967686223</v>
      </c>
      <c r="L164" s="342">
        <v>99744.580213123903</v>
      </c>
      <c r="M164" s="342">
        <v>947.31999778747604</v>
      </c>
      <c r="N164" s="354">
        <v>1443</v>
      </c>
      <c r="O164" s="343">
        <v>181.94060291563613</v>
      </c>
      <c r="P164" s="343">
        <v>112.16104628991793</v>
      </c>
      <c r="Q164" s="343">
        <v>132.85284108136514</v>
      </c>
      <c r="R164" s="344">
        <v>0.7301989712706819</v>
      </c>
      <c r="S164" s="344">
        <v>1.195147991706945</v>
      </c>
      <c r="T164" s="343">
        <v>322289.31</v>
      </c>
      <c r="U164" s="342">
        <v>223700.18</v>
      </c>
      <c r="V164" s="342">
        <v>6754.7</v>
      </c>
      <c r="W164" s="344">
        <f t="shared" si="27"/>
        <v>3.0195326619764009E-2</v>
      </c>
      <c r="X164" s="342">
        <v>3762.78</v>
      </c>
      <c r="Y164" s="344">
        <f t="shared" si="28"/>
        <v>1.6820639125100394E-2</v>
      </c>
      <c r="Z164" s="342">
        <v>3925.13</v>
      </c>
      <c r="AA164" s="344">
        <f t="shared" si="20"/>
        <v>1.7546387311802789E-2</v>
      </c>
      <c r="AB164" s="342">
        <v>32216.41</v>
      </c>
      <c r="AC164" s="344">
        <f t="shared" si="21"/>
        <v>0.14401602180203879</v>
      </c>
      <c r="AD164" s="342">
        <v>98589.13</v>
      </c>
      <c r="AE164" s="342">
        <v>11221.65</v>
      </c>
      <c r="AF164" s="344">
        <f t="shared" si="22"/>
        <v>0.11382238589588932</v>
      </c>
      <c r="AG164" s="342">
        <v>11311.34</v>
      </c>
      <c r="AH164" s="344">
        <f t="shared" si="23"/>
        <v>0.1147321210766339</v>
      </c>
      <c r="AI164" s="342">
        <v>7447.89</v>
      </c>
      <c r="AJ164" s="344">
        <f t="shared" si="24"/>
        <v>7.5544738045664875E-2</v>
      </c>
      <c r="AK164" s="342">
        <v>43636.59</v>
      </c>
      <c r="AL164" s="784">
        <f t="shared" si="25"/>
        <v>0.44261055960226037</v>
      </c>
      <c r="AM164" s="350">
        <v>35.789619130644425</v>
      </c>
      <c r="AN164" s="350">
        <v>26.756064782379656</v>
      </c>
      <c r="AO164" s="350">
        <v>152.9989338554108</v>
      </c>
      <c r="AP164" s="639">
        <f t="shared" si="26"/>
        <v>8.9236600090057041E-3</v>
      </c>
    </row>
    <row r="165" spans="1:42" x14ac:dyDescent="0.2">
      <c r="A165" s="638">
        <v>42461</v>
      </c>
      <c r="B165" s="341" t="s">
        <v>133</v>
      </c>
      <c r="C165" s="351" t="s">
        <v>174</v>
      </c>
      <c r="D165" s="342">
        <v>194140.010009363</v>
      </c>
      <c r="E165" s="342">
        <v>9814</v>
      </c>
      <c r="F165" s="342">
        <v>184326.010009363</v>
      </c>
      <c r="G165" s="342">
        <v>127368.279788703</v>
      </c>
      <c r="H165" s="342">
        <v>72858.489791035696</v>
      </c>
      <c r="I165" s="342">
        <v>54509.789997667103</v>
      </c>
      <c r="J165" s="342">
        <v>998.36000223457802</v>
      </c>
      <c r="K165" s="343">
        <v>126369.91978646822</v>
      </c>
      <c r="L165" s="342">
        <v>63457.750201702103</v>
      </c>
      <c r="M165" s="342">
        <v>857</v>
      </c>
      <c r="N165" s="354">
        <v>1009</v>
      </c>
      <c r="O165" s="343">
        <v>192.40833499441328</v>
      </c>
      <c r="P165" s="343">
        <v>128.66725451700782</v>
      </c>
      <c r="Q165" s="343">
        <v>126.2321900780008</v>
      </c>
      <c r="R165" s="344">
        <v>0.65606404255650375</v>
      </c>
      <c r="S165" s="344">
        <v>0.98867767509016713</v>
      </c>
      <c r="T165" s="343">
        <v>220558.46000000002</v>
      </c>
      <c r="U165" s="342">
        <v>150563.92000000001</v>
      </c>
      <c r="V165" s="342">
        <v>3436.47</v>
      </c>
      <c r="W165" s="344">
        <f t="shared" si="27"/>
        <v>2.2823993955524004E-2</v>
      </c>
      <c r="X165" s="342">
        <v>2277.84</v>
      </c>
      <c r="Y165" s="344">
        <f t="shared" si="28"/>
        <v>1.5128724066164058E-2</v>
      </c>
      <c r="Z165" s="342">
        <v>4329.0600000000004</v>
      </c>
      <c r="AA165" s="344">
        <f t="shared" si="20"/>
        <v>2.8752306661516253E-2</v>
      </c>
      <c r="AB165" s="342">
        <v>12683.95</v>
      </c>
      <c r="AC165" s="344">
        <f t="shared" si="21"/>
        <v>8.4242958073886487E-2</v>
      </c>
      <c r="AD165" s="342">
        <v>69994.539999999994</v>
      </c>
      <c r="AE165" s="342">
        <v>4747.43</v>
      </c>
      <c r="AF165" s="344">
        <f t="shared" si="22"/>
        <v>6.7825718977508831E-2</v>
      </c>
      <c r="AG165" s="342">
        <v>4109.22</v>
      </c>
      <c r="AH165" s="344">
        <f t="shared" si="23"/>
        <v>5.8707722059463507E-2</v>
      </c>
      <c r="AI165" s="342">
        <v>4496.6000000000004</v>
      </c>
      <c r="AJ165" s="344">
        <f t="shared" si="24"/>
        <v>6.4242153745134992E-2</v>
      </c>
      <c r="AK165" s="342">
        <v>36958.86</v>
      </c>
      <c r="AL165" s="784">
        <f t="shared" si="25"/>
        <v>0.52802490022793214</v>
      </c>
      <c r="AM165" s="350">
        <v>34.909646494349445</v>
      </c>
      <c r="AN165" s="350">
        <v>25.066727528268892</v>
      </c>
      <c r="AO165" s="350">
        <v>224.73363775819627</v>
      </c>
      <c r="AP165" s="639">
        <f t="shared" si="26"/>
        <v>7.6900289182064516E-3</v>
      </c>
    </row>
    <row r="166" spans="1:42" x14ac:dyDescent="0.2">
      <c r="A166" s="638">
        <v>42461</v>
      </c>
      <c r="B166" s="341" t="s">
        <v>133</v>
      </c>
      <c r="C166" s="351" t="s">
        <v>175</v>
      </c>
      <c r="D166" s="342">
        <v>0</v>
      </c>
      <c r="E166" s="342">
        <v>0</v>
      </c>
      <c r="F166" s="342">
        <v>0</v>
      </c>
      <c r="G166" s="342">
        <v>1806.9400005340599</v>
      </c>
      <c r="H166" s="342">
        <v>440.83999633789102</v>
      </c>
      <c r="I166" s="342">
        <v>1366.1000041961699</v>
      </c>
      <c r="J166" s="342">
        <v>85</v>
      </c>
      <c r="K166" s="343">
        <v>1721.940000534061</v>
      </c>
      <c r="L166" s="342">
        <v>288.290003657341</v>
      </c>
      <c r="M166" s="342">
        <v>67.979999542236001</v>
      </c>
      <c r="N166" s="354">
        <v>0</v>
      </c>
      <c r="O166" s="343" t="s">
        <v>311</v>
      </c>
      <c r="P166" s="343" t="s">
        <v>311</v>
      </c>
      <c r="Q166" s="343" t="s">
        <v>311</v>
      </c>
      <c r="R166" s="344" t="s">
        <v>312</v>
      </c>
      <c r="S166" s="344">
        <v>-4.0948625273239356</v>
      </c>
      <c r="T166" s="343">
        <v>15932.44</v>
      </c>
      <c r="U166" s="342">
        <v>2174.4299999999998</v>
      </c>
      <c r="V166" s="342">
        <v>0</v>
      </c>
      <c r="W166" s="344">
        <f t="shared" si="27"/>
        <v>0</v>
      </c>
      <c r="X166" s="342">
        <v>0</v>
      </c>
      <c r="Y166" s="344">
        <f t="shared" si="28"/>
        <v>0</v>
      </c>
      <c r="Z166" s="342">
        <v>322</v>
      </c>
      <c r="AA166" s="344">
        <f t="shared" si="20"/>
        <v>0.14808478543802284</v>
      </c>
      <c r="AB166" s="342">
        <v>1852.43</v>
      </c>
      <c r="AC166" s="344">
        <f t="shared" si="21"/>
        <v>0.85191521456197727</v>
      </c>
      <c r="AD166" s="342">
        <v>13758.01</v>
      </c>
      <c r="AE166" s="342">
        <v>0</v>
      </c>
      <c r="AF166" s="344">
        <f t="shared" si="22"/>
        <v>0</v>
      </c>
      <c r="AG166" s="342">
        <v>0</v>
      </c>
      <c r="AH166" s="344">
        <f t="shared" si="23"/>
        <v>0</v>
      </c>
      <c r="AI166" s="342">
        <v>964.71</v>
      </c>
      <c r="AJ166" s="344">
        <f t="shared" si="24"/>
        <v>7.0119879255793535E-2</v>
      </c>
      <c r="AK166" s="342">
        <v>12793.3</v>
      </c>
      <c r="AL166" s="784">
        <f t="shared" si="25"/>
        <v>0.92988012074420645</v>
      </c>
      <c r="AM166" s="350" t="s">
        <v>313</v>
      </c>
      <c r="AN166" s="350" t="s">
        <v>313</v>
      </c>
      <c r="AO166" s="350" t="s">
        <v>313</v>
      </c>
      <c r="AP166" s="639">
        <f t="shared" si="26"/>
        <v>-0.23858309494662761</v>
      </c>
    </row>
    <row r="167" spans="1:42" x14ac:dyDescent="0.2">
      <c r="A167" s="638">
        <v>42461</v>
      </c>
      <c r="B167" s="341" t="s">
        <v>133</v>
      </c>
      <c r="C167" s="351" t="s">
        <v>176</v>
      </c>
      <c r="D167" s="342">
        <v>0</v>
      </c>
      <c r="E167" s="342">
        <v>0</v>
      </c>
      <c r="F167" s="342">
        <v>0</v>
      </c>
      <c r="G167" s="342">
        <v>0</v>
      </c>
      <c r="H167" s="342">
        <v>0</v>
      </c>
      <c r="I167" s="342">
        <v>0</v>
      </c>
      <c r="J167" s="342">
        <v>0</v>
      </c>
      <c r="K167" s="343">
        <v>0</v>
      </c>
      <c r="L167" s="342">
        <v>0</v>
      </c>
      <c r="M167" s="342">
        <v>0</v>
      </c>
      <c r="N167" s="354">
        <v>0</v>
      </c>
      <c r="O167" s="343" t="s">
        <v>311</v>
      </c>
      <c r="P167" s="343" t="s">
        <v>311</v>
      </c>
      <c r="Q167" s="343" t="s">
        <v>311</v>
      </c>
      <c r="R167" s="344" t="s">
        <v>312</v>
      </c>
      <c r="S167" s="344" t="s">
        <v>312</v>
      </c>
      <c r="T167" s="343">
        <v>0</v>
      </c>
      <c r="U167" s="342">
        <v>0</v>
      </c>
      <c r="V167" s="342">
        <v>0</v>
      </c>
      <c r="W167" s="344" t="str">
        <f t="shared" si="27"/>
        <v>0.00%</v>
      </c>
      <c r="X167" s="342">
        <v>0</v>
      </c>
      <c r="Y167" s="344" t="str">
        <f t="shared" si="28"/>
        <v>0.00%</v>
      </c>
      <c r="Z167" s="342">
        <v>0</v>
      </c>
      <c r="AA167" s="344">
        <f t="shared" si="20"/>
        <v>0</v>
      </c>
      <c r="AB167" s="342">
        <v>0</v>
      </c>
      <c r="AC167" s="344" t="str">
        <f t="shared" si="21"/>
        <v>0.00%</v>
      </c>
      <c r="AD167" s="342">
        <v>0</v>
      </c>
      <c r="AE167" s="342">
        <v>0</v>
      </c>
      <c r="AF167" s="344" t="str">
        <f t="shared" si="22"/>
        <v>0.00%</v>
      </c>
      <c r="AG167" s="342">
        <v>0</v>
      </c>
      <c r="AH167" s="344" t="str">
        <f t="shared" si="23"/>
        <v>0.00%</v>
      </c>
      <c r="AI167" s="342">
        <v>0</v>
      </c>
      <c r="AJ167" s="344">
        <f t="shared" si="24"/>
        <v>0</v>
      </c>
      <c r="AK167" s="342">
        <v>0</v>
      </c>
      <c r="AL167" s="784" t="str">
        <f t="shared" si="25"/>
        <v>0.00%</v>
      </c>
      <c r="AM167" s="350" t="s">
        <v>313</v>
      </c>
      <c r="AN167" s="350" t="s">
        <v>313</v>
      </c>
      <c r="AO167" s="350" t="s">
        <v>313</v>
      </c>
      <c r="AP167" s="639" t="str">
        <f t="shared" si="26"/>
        <v>0.00%</v>
      </c>
    </row>
    <row r="168" spans="1:42" x14ac:dyDescent="0.2">
      <c r="A168" s="638">
        <v>42461</v>
      </c>
      <c r="B168" s="341" t="s">
        <v>133</v>
      </c>
      <c r="C168" s="351" t="s">
        <v>177</v>
      </c>
      <c r="D168" s="342">
        <v>157791.79000741799</v>
      </c>
      <c r="E168" s="342">
        <v>8770</v>
      </c>
      <c r="F168" s="342">
        <v>149021.79000741799</v>
      </c>
      <c r="G168" s="342">
        <v>122017.21987141699</v>
      </c>
      <c r="H168" s="342">
        <v>64997.679899014503</v>
      </c>
      <c r="I168" s="342">
        <v>57019.539972402199</v>
      </c>
      <c r="J168" s="342">
        <v>787.16999760270096</v>
      </c>
      <c r="K168" s="343">
        <v>121230.049873814</v>
      </c>
      <c r="L168" s="342">
        <v>61609.230133615398</v>
      </c>
      <c r="M168" s="342">
        <v>555</v>
      </c>
      <c r="N168" s="354">
        <v>821</v>
      </c>
      <c r="O168" s="343">
        <v>192.19462851086234</v>
      </c>
      <c r="P168" s="343">
        <v>116.47693041876076</v>
      </c>
      <c r="Q168" s="343">
        <v>148.62024344874141</v>
      </c>
      <c r="R168" s="344">
        <v>0.77327990173430772</v>
      </c>
      <c r="S168" s="344">
        <v>1.2865533348259339</v>
      </c>
      <c r="T168" s="343">
        <v>149152.31</v>
      </c>
      <c r="U168" s="342">
        <v>111294.19</v>
      </c>
      <c r="V168" s="342">
        <v>3442.57</v>
      </c>
      <c r="W168" s="344">
        <f t="shared" si="27"/>
        <v>3.0932162766088688E-2</v>
      </c>
      <c r="X168" s="342">
        <v>2769.52</v>
      </c>
      <c r="Y168" s="344">
        <f t="shared" si="28"/>
        <v>2.4884677268418053E-2</v>
      </c>
      <c r="Z168" s="342">
        <v>2683.48</v>
      </c>
      <c r="AA168" s="344">
        <f t="shared" si="20"/>
        <v>2.4111591090244692E-2</v>
      </c>
      <c r="AB168" s="342">
        <v>13865.46</v>
      </c>
      <c r="AC168" s="344">
        <f t="shared" si="21"/>
        <v>0.12458386192486777</v>
      </c>
      <c r="AD168" s="342">
        <v>37858.120000000003</v>
      </c>
      <c r="AE168" s="342">
        <v>2374.54</v>
      </c>
      <c r="AF168" s="344">
        <f t="shared" si="22"/>
        <v>6.2722079173503587E-2</v>
      </c>
      <c r="AG168" s="342">
        <v>1156.58</v>
      </c>
      <c r="AH168" s="344">
        <f t="shared" si="23"/>
        <v>3.0550381265630724E-2</v>
      </c>
      <c r="AI168" s="342">
        <v>2478.27</v>
      </c>
      <c r="AJ168" s="344">
        <f t="shared" si="24"/>
        <v>6.5462046187185208E-2</v>
      </c>
      <c r="AK168" s="342">
        <v>19880.78</v>
      </c>
      <c r="AL168" s="784">
        <f t="shared" si="25"/>
        <v>0.52513912471089419</v>
      </c>
      <c r="AM168" s="350">
        <f>IFERROR(T168/(D168+D118+D68)*90,"0.00")</f>
        <v>26.796229106841356</v>
      </c>
      <c r="AN168" s="350">
        <f>IFERROR(U168/(F168+F118+F68)*90,"0.00")</f>
        <v>21.130956302256639</v>
      </c>
      <c r="AO168" s="350">
        <f>IFERROR(AD168/(E168+E118+E68)*90,"0.00")</f>
        <v>126.49356994356994</v>
      </c>
      <c r="AP168" s="639">
        <f t="shared" si="26"/>
        <v>8.2316227522851206E-3</v>
      </c>
    </row>
    <row r="169" spans="1:42" x14ac:dyDescent="0.2">
      <c r="A169" s="638">
        <v>42461</v>
      </c>
      <c r="B169" s="341" t="s">
        <v>134</v>
      </c>
      <c r="C169" s="351" t="s">
        <v>178</v>
      </c>
      <c r="D169" s="342">
        <v>495397.98016915569</v>
      </c>
      <c r="E169" s="342">
        <v>15195</v>
      </c>
      <c r="F169" s="342">
        <v>480202.9801691561</v>
      </c>
      <c r="G169" s="342">
        <v>388543.32049142738</v>
      </c>
      <c r="H169" s="342">
        <v>263407.91047262598</v>
      </c>
      <c r="I169" s="342">
        <v>125135.4100188016</v>
      </c>
      <c r="J169" s="342">
        <v>8891.649998426441</v>
      </c>
      <c r="K169" s="343">
        <v>379651.67049300112</v>
      </c>
      <c r="L169" s="342">
        <v>160846.3191759121</v>
      </c>
      <c r="M169" s="342">
        <v>6965.3399944305438</v>
      </c>
      <c r="N169" s="354">
        <v>2664</v>
      </c>
      <c r="O169" s="343">
        <v>185.96020276619973</v>
      </c>
      <c r="P169" s="343">
        <v>122.96783821276783</v>
      </c>
      <c r="Q169" s="343">
        <v>145.8495947790644</v>
      </c>
      <c r="R169" s="344">
        <v>0.78430541916775176</v>
      </c>
      <c r="S169" s="344">
        <v>1.2191710619816285</v>
      </c>
      <c r="T169" s="343">
        <v>655892.89</v>
      </c>
      <c r="U169" s="342">
        <v>581274.85</v>
      </c>
      <c r="V169" s="342">
        <v>46249.97</v>
      </c>
      <c r="W169" s="344">
        <f t="shared" si="27"/>
        <v>7.9566439181051787E-2</v>
      </c>
      <c r="X169" s="342">
        <v>20260.14</v>
      </c>
      <c r="Y169" s="344">
        <f t="shared" si="28"/>
        <v>3.4854664708098074E-2</v>
      </c>
      <c r="Z169" s="342">
        <v>10445.879999999999</v>
      </c>
      <c r="AA169" s="344">
        <f t="shared" si="20"/>
        <v>1.7970638158523459E-2</v>
      </c>
      <c r="AB169" s="342">
        <v>12767.01</v>
      </c>
      <c r="AC169" s="344">
        <f t="shared" si="21"/>
        <v>2.1963809375203487E-2</v>
      </c>
      <c r="AD169" s="342">
        <v>74618.039999999994</v>
      </c>
      <c r="AE169" s="342">
        <v>13499.54</v>
      </c>
      <c r="AF169" s="344">
        <f t="shared" si="22"/>
        <v>0.18091523175896876</v>
      </c>
      <c r="AG169" s="342">
        <v>10195.08</v>
      </c>
      <c r="AH169" s="344">
        <f t="shared" si="23"/>
        <v>0.13663023043757247</v>
      </c>
      <c r="AI169" s="342">
        <v>7935.69</v>
      </c>
      <c r="AJ169" s="344">
        <f t="shared" si="24"/>
        <v>0.10635082347378731</v>
      </c>
      <c r="AK169" s="342">
        <v>14277.87</v>
      </c>
      <c r="AL169" s="784">
        <f t="shared" si="25"/>
        <v>0.19134608735367481</v>
      </c>
      <c r="AM169" s="350">
        <f>IFERROR(T169/(D169+D119+D69)*90,"0.00")</f>
        <v>38.828687947943152</v>
      </c>
      <c r="AN169" s="350">
        <f>IFERROR(U169/(F169+F119+F69)*90,"0.00")</f>
        <v>35.317942418602016</v>
      </c>
      <c r="AO169" s="350">
        <f>IFERROR(AD169/(E169+E119+E69)*90,"0.00")</f>
        <v>172.08075641879771</v>
      </c>
      <c r="AP169" s="639">
        <f t="shared" si="26"/>
        <v>2.7142922119933875E-2</v>
      </c>
    </row>
    <row r="170" spans="1:42" x14ac:dyDescent="0.2">
      <c r="A170" s="638">
        <v>42461</v>
      </c>
      <c r="B170" s="341" t="s">
        <v>135</v>
      </c>
      <c r="C170" s="351" t="s">
        <v>180</v>
      </c>
      <c r="D170" s="342">
        <v>0</v>
      </c>
      <c r="E170" s="342">
        <v>0</v>
      </c>
      <c r="F170" s="342">
        <v>0</v>
      </c>
      <c r="G170" s="342">
        <v>50.869998931883998</v>
      </c>
      <c r="H170" s="342">
        <v>0</v>
      </c>
      <c r="I170" s="342">
        <v>50.869998931883998</v>
      </c>
      <c r="J170" s="342">
        <v>0</v>
      </c>
      <c r="K170" s="343">
        <v>50.869998931883998</v>
      </c>
      <c r="L170" s="342">
        <v>0</v>
      </c>
      <c r="M170" s="342">
        <v>0</v>
      </c>
      <c r="N170" s="354">
        <v>0</v>
      </c>
      <c r="O170" s="343" t="s">
        <v>311</v>
      </c>
      <c r="P170" s="343" t="s">
        <v>311</v>
      </c>
      <c r="Q170" s="343" t="s">
        <v>311</v>
      </c>
      <c r="R170" s="344" t="s">
        <v>312</v>
      </c>
      <c r="S170" s="344" t="s">
        <v>312</v>
      </c>
      <c r="T170" s="343">
        <v>-15.509999999999991</v>
      </c>
      <c r="U170" s="342">
        <v>-125.21</v>
      </c>
      <c r="V170" s="342">
        <v>0</v>
      </c>
      <c r="W170" s="344">
        <v>0</v>
      </c>
      <c r="X170" s="342">
        <v>0</v>
      </c>
      <c r="Y170" s="344">
        <f t="shared" si="28"/>
        <v>0</v>
      </c>
      <c r="Z170" s="342">
        <v>0</v>
      </c>
      <c r="AA170" s="344">
        <f t="shared" si="20"/>
        <v>0</v>
      </c>
      <c r="AB170" s="342">
        <v>-125.21</v>
      </c>
      <c r="AC170" s="344">
        <v>0</v>
      </c>
      <c r="AD170" s="342">
        <v>109.7</v>
      </c>
      <c r="AE170" s="342">
        <v>0</v>
      </c>
      <c r="AF170" s="344">
        <f t="shared" si="22"/>
        <v>0</v>
      </c>
      <c r="AG170" s="342">
        <v>0</v>
      </c>
      <c r="AH170" s="344">
        <f t="shared" si="23"/>
        <v>0</v>
      </c>
      <c r="AI170" s="342">
        <v>0</v>
      </c>
      <c r="AJ170" s="344">
        <f t="shared" si="24"/>
        <v>0</v>
      </c>
      <c r="AK170" s="342">
        <v>109.7</v>
      </c>
      <c r="AL170" s="784">
        <f t="shared" si="25"/>
        <v>1</v>
      </c>
      <c r="AM170" s="350" t="s">
        <v>313</v>
      </c>
      <c r="AN170" s="350" t="s">
        <v>313</v>
      </c>
      <c r="AO170" s="350" t="s">
        <v>313</v>
      </c>
      <c r="AP170" s="639" t="str">
        <f t="shared" si="26"/>
        <v>0.00%</v>
      </c>
    </row>
    <row r="171" spans="1:42" x14ac:dyDescent="0.2">
      <c r="A171" s="638">
        <v>42461</v>
      </c>
      <c r="B171" s="341" t="s">
        <v>135</v>
      </c>
      <c r="C171" s="351" t="s">
        <v>181</v>
      </c>
      <c r="D171" s="342">
        <v>89825.190002441406</v>
      </c>
      <c r="E171" s="342">
        <v>6806</v>
      </c>
      <c r="F171" s="342">
        <v>83019.190002441406</v>
      </c>
      <c r="G171" s="342">
        <v>74620.2902834415</v>
      </c>
      <c r="H171" s="342">
        <v>38891.300240755103</v>
      </c>
      <c r="I171" s="342">
        <v>35728.990042686499</v>
      </c>
      <c r="J171" s="342">
        <v>1219.4399948120099</v>
      </c>
      <c r="K171" s="343">
        <v>73400.85028862959</v>
      </c>
      <c r="L171" s="342">
        <v>39234.499788999601</v>
      </c>
      <c r="M171" s="342">
        <v>1780.1800079345701</v>
      </c>
      <c r="N171" s="354">
        <v>791</v>
      </c>
      <c r="O171" s="343">
        <v>113.55902655175905</v>
      </c>
      <c r="P171" s="343">
        <v>61.707345392550231</v>
      </c>
      <c r="Q171" s="343">
        <v>94.336650168699876</v>
      </c>
      <c r="R171" s="344">
        <v>0.8307278869258552</v>
      </c>
      <c r="S171" s="344">
        <v>1.5679473050948969</v>
      </c>
      <c r="T171" s="343">
        <v>96220.49</v>
      </c>
      <c r="U171" s="342">
        <v>66294.58</v>
      </c>
      <c r="V171" s="342">
        <v>2043.77</v>
      </c>
      <c r="W171" s="344">
        <f t="shared" si="27"/>
        <v>3.082861374187754E-2</v>
      </c>
      <c r="X171" s="342">
        <v>870.18</v>
      </c>
      <c r="Y171" s="344">
        <f t="shared" si="28"/>
        <v>1.3125959920102065E-2</v>
      </c>
      <c r="Z171" s="342">
        <v>1470</v>
      </c>
      <c r="AA171" s="344">
        <f t="shared" si="20"/>
        <v>2.2173758397745335E-2</v>
      </c>
      <c r="AB171" s="342">
        <v>6239.74</v>
      </c>
      <c r="AC171" s="344">
        <f t="shared" si="21"/>
        <v>9.4121419880780599E-2</v>
      </c>
      <c r="AD171" s="342">
        <v>29925.91</v>
      </c>
      <c r="AE171" s="342">
        <v>3491.26</v>
      </c>
      <c r="AF171" s="344">
        <f t="shared" si="22"/>
        <v>0.11666345317485752</v>
      </c>
      <c r="AG171" s="342">
        <v>3742.08</v>
      </c>
      <c r="AH171" s="344">
        <f t="shared" si="23"/>
        <v>0.12504481902137646</v>
      </c>
      <c r="AI171" s="342">
        <v>1669.38</v>
      </c>
      <c r="AJ171" s="344">
        <f t="shared" si="24"/>
        <v>5.5783767310668253E-2</v>
      </c>
      <c r="AK171" s="342">
        <v>16329.04</v>
      </c>
      <c r="AL171" s="784">
        <f t="shared" si="25"/>
        <v>0.5456489042438476</v>
      </c>
      <c r="AM171" s="350">
        <v>28.286681136243597</v>
      </c>
      <c r="AN171" s="350">
        <v>20.762933682039652</v>
      </c>
      <c r="AO171" s="350">
        <v>143.39963262698328</v>
      </c>
      <c r="AP171" s="639">
        <f t="shared" si="26"/>
        <v>2.4983143787634939E-2</v>
      </c>
    </row>
    <row r="172" spans="1:42" x14ac:dyDescent="0.2">
      <c r="A172" s="638">
        <v>42461</v>
      </c>
      <c r="B172" s="341" t="s">
        <v>135</v>
      </c>
      <c r="C172" s="351" t="s">
        <v>182</v>
      </c>
      <c r="D172" s="342">
        <v>0</v>
      </c>
      <c r="E172" s="342">
        <v>0</v>
      </c>
      <c r="F172" s="342">
        <v>0</v>
      </c>
      <c r="G172" s="342">
        <v>253.02000427246099</v>
      </c>
      <c r="H172" s="342">
        <v>0</v>
      </c>
      <c r="I172" s="342">
        <v>253.02000427246099</v>
      </c>
      <c r="J172" s="342">
        <v>0</v>
      </c>
      <c r="K172" s="343">
        <v>253.02000427246099</v>
      </c>
      <c r="L172" s="342">
        <v>71</v>
      </c>
      <c r="M172" s="342">
        <v>0</v>
      </c>
      <c r="N172" s="354">
        <v>0</v>
      </c>
      <c r="O172" s="343" t="s">
        <v>311</v>
      </c>
      <c r="P172" s="343" t="s">
        <v>311</v>
      </c>
      <c r="Q172" s="343" t="s">
        <v>311</v>
      </c>
      <c r="R172" s="344" t="s">
        <v>312</v>
      </c>
      <c r="S172" s="344">
        <v>-3.5636620320064929</v>
      </c>
      <c r="T172" s="343">
        <v>894.44</v>
      </c>
      <c r="U172" s="342">
        <v>75.59</v>
      </c>
      <c r="V172" s="342">
        <v>0</v>
      </c>
      <c r="W172" s="344">
        <f t="shared" si="27"/>
        <v>0</v>
      </c>
      <c r="X172" s="342">
        <v>0</v>
      </c>
      <c r="Y172" s="344">
        <f t="shared" si="28"/>
        <v>0</v>
      </c>
      <c r="Z172" s="342">
        <v>0</v>
      </c>
      <c r="AA172" s="344">
        <f t="shared" si="20"/>
        <v>0</v>
      </c>
      <c r="AB172" s="342">
        <v>75.59</v>
      </c>
      <c r="AC172" s="344">
        <f t="shared" si="21"/>
        <v>1</v>
      </c>
      <c r="AD172" s="342">
        <f>SUM(AE172,AG172,AI172,AK172)</f>
        <v>818.85</v>
      </c>
      <c r="AE172" s="342">
        <v>0</v>
      </c>
      <c r="AF172" s="344">
        <f t="shared" si="22"/>
        <v>0</v>
      </c>
      <c r="AG172" s="342">
        <v>0</v>
      </c>
      <c r="AH172" s="344">
        <f t="shared" si="23"/>
        <v>0</v>
      </c>
      <c r="AI172" s="342">
        <v>-95.5</v>
      </c>
      <c r="AJ172" s="344">
        <v>0</v>
      </c>
      <c r="AK172" s="342">
        <v>914.35</v>
      </c>
      <c r="AL172" s="784">
        <f t="shared" si="25"/>
        <v>1.1166269768577883</v>
      </c>
      <c r="AM172" s="350" t="s">
        <v>313</v>
      </c>
      <c r="AN172" s="350" t="s">
        <v>313</v>
      </c>
      <c r="AO172" s="350" t="s">
        <v>313</v>
      </c>
      <c r="AP172" s="639">
        <f t="shared" si="26"/>
        <v>0</v>
      </c>
    </row>
    <row r="173" spans="1:42" x14ac:dyDescent="0.2">
      <c r="A173" s="638">
        <v>42461</v>
      </c>
      <c r="B173" s="341" t="s">
        <v>135</v>
      </c>
      <c r="C173" s="351" t="s">
        <v>183</v>
      </c>
      <c r="D173" s="342">
        <v>186336.10000610401</v>
      </c>
      <c r="E173" s="342">
        <v>9079</v>
      </c>
      <c r="F173" s="342">
        <v>177257.10000610401</v>
      </c>
      <c r="G173" s="342">
        <v>139127.76064727601</v>
      </c>
      <c r="H173" s="342">
        <v>70339.610497206493</v>
      </c>
      <c r="I173" s="342">
        <v>68788.150150069996</v>
      </c>
      <c r="J173" s="342">
        <v>1601.42999577522</v>
      </c>
      <c r="K173" s="343">
        <v>137526.33065150125</v>
      </c>
      <c r="L173" s="342">
        <v>77283.749254465103</v>
      </c>
      <c r="M173" s="342">
        <v>1540.0400009155301</v>
      </c>
      <c r="N173" s="354">
        <v>978</v>
      </c>
      <c r="O173" s="343">
        <v>190.52770961769326</v>
      </c>
      <c r="P173" s="343">
        <v>109.93078808867421</v>
      </c>
      <c r="Q173" s="343">
        <v>142.25742397472033</v>
      </c>
      <c r="R173" s="344">
        <v>0.74664952546886465</v>
      </c>
      <c r="S173" s="344">
        <v>1.3136304755050054</v>
      </c>
      <c r="T173" s="343">
        <v>158867.54999999999</v>
      </c>
      <c r="U173" s="342">
        <v>117665.11</v>
      </c>
      <c r="V173" s="342">
        <v>6214.52</v>
      </c>
      <c r="W173" s="344">
        <f t="shared" si="27"/>
        <v>5.281531628194628E-2</v>
      </c>
      <c r="X173" s="342">
        <v>3680.5</v>
      </c>
      <c r="Y173" s="344">
        <f t="shared" si="28"/>
        <v>3.1279450637491435E-2</v>
      </c>
      <c r="Z173" s="342">
        <v>710.04</v>
      </c>
      <c r="AA173" s="344">
        <f t="shared" si="20"/>
        <v>6.0344141096710822E-3</v>
      </c>
      <c r="AB173" s="342">
        <v>7514.84</v>
      </c>
      <c r="AC173" s="344">
        <f t="shared" si="21"/>
        <v>6.3866340668019606E-2</v>
      </c>
      <c r="AD173" s="342">
        <v>41202.44</v>
      </c>
      <c r="AE173" s="342">
        <v>5656.12</v>
      </c>
      <c r="AF173" s="344">
        <f t="shared" si="22"/>
        <v>0.13727633606165071</v>
      </c>
      <c r="AG173" s="342">
        <v>4218.41</v>
      </c>
      <c r="AH173" s="344">
        <f t="shared" si="23"/>
        <v>0.10238252880169232</v>
      </c>
      <c r="AI173" s="342">
        <v>2811.63</v>
      </c>
      <c r="AJ173" s="344">
        <f t="shared" si="24"/>
        <v>6.8239405239107195E-2</v>
      </c>
      <c r="AK173" s="342">
        <v>19916.759999999998</v>
      </c>
      <c r="AL173" s="784">
        <f t="shared" si="25"/>
        <v>0.48338787702864194</v>
      </c>
      <c r="AM173" s="350">
        <v>23.428856708862142</v>
      </c>
      <c r="AN173" s="350">
        <v>18.397647745145207</v>
      </c>
      <c r="AO173" s="350">
        <v>106.96684454957165</v>
      </c>
      <c r="AP173" s="639">
        <f t="shared" si="26"/>
        <v>1.4895317425446045E-2</v>
      </c>
    </row>
    <row r="174" spans="1:42" x14ac:dyDescent="0.2">
      <c r="A174" s="638">
        <v>42461</v>
      </c>
      <c r="B174" s="341" t="s">
        <v>135</v>
      </c>
      <c r="C174" s="351" t="s">
        <v>184</v>
      </c>
      <c r="D174" s="342">
        <v>0</v>
      </c>
      <c r="E174" s="342">
        <v>0</v>
      </c>
      <c r="F174" s="342">
        <v>0</v>
      </c>
      <c r="G174" s="342">
        <v>410.22999858856201</v>
      </c>
      <c r="H174" s="342">
        <v>195.93999862670901</v>
      </c>
      <c r="I174" s="342">
        <v>214.289999961853</v>
      </c>
      <c r="J174" s="342">
        <v>0</v>
      </c>
      <c r="K174" s="343">
        <v>410.22999858856201</v>
      </c>
      <c r="L174" s="342">
        <v>63.04999923706</v>
      </c>
      <c r="M174" s="342">
        <v>200</v>
      </c>
      <c r="N174" s="354">
        <v>0</v>
      </c>
      <c r="O174" s="343" t="s">
        <v>311</v>
      </c>
      <c r="P174" s="343" t="s">
        <v>311</v>
      </c>
      <c r="Q174" s="343" t="s">
        <v>311</v>
      </c>
      <c r="R174" s="344" t="s">
        <v>312</v>
      </c>
      <c r="S174" s="344">
        <v>-1.5595133996516906</v>
      </c>
      <c r="T174" s="343">
        <v>3678.31</v>
      </c>
      <c r="U174" s="342">
        <v>1521.12</v>
      </c>
      <c r="V174" s="342">
        <v>0</v>
      </c>
      <c r="W174" s="344">
        <f t="shared" si="27"/>
        <v>0</v>
      </c>
      <c r="X174" s="342">
        <v>0</v>
      </c>
      <c r="Y174" s="344">
        <f t="shared" si="28"/>
        <v>0</v>
      </c>
      <c r="Z174" s="342">
        <v>0</v>
      </c>
      <c r="AA174" s="344">
        <f t="shared" si="20"/>
        <v>0</v>
      </c>
      <c r="AB174" s="342">
        <v>1521.12</v>
      </c>
      <c r="AC174" s="344">
        <f t="shared" si="21"/>
        <v>1</v>
      </c>
      <c r="AD174" s="342">
        <v>2157.19</v>
      </c>
      <c r="AE174" s="342">
        <v>0</v>
      </c>
      <c r="AF174" s="344">
        <f t="shared" si="22"/>
        <v>0</v>
      </c>
      <c r="AG174" s="342">
        <v>0</v>
      </c>
      <c r="AH174" s="344">
        <f t="shared" si="23"/>
        <v>0</v>
      </c>
      <c r="AI174" s="342">
        <v>0</v>
      </c>
      <c r="AJ174" s="344">
        <f t="shared" si="24"/>
        <v>0</v>
      </c>
      <c r="AK174" s="342">
        <v>2157.19</v>
      </c>
      <c r="AL174" s="784">
        <f t="shared" si="25"/>
        <v>1</v>
      </c>
      <c r="AM174" s="350" t="s">
        <v>313</v>
      </c>
      <c r="AN174" s="350" t="s">
        <v>313</v>
      </c>
      <c r="AO174" s="350" t="s">
        <v>313</v>
      </c>
      <c r="AP174" s="639">
        <f t="shared" si="26"/>
        <v>0</v>
      </c>
    </row>
    <row r="175" spans="1:42" x14ac:dyDescent="0.2">
      <c r="A175" s="638">
        <v>42461</v>
      </c>
      <c r="B175" s="341" t="s">
        <v>135</v>
      </c>
      <c r="C175" s="351" t="s">
        <v>185</v>
      </c>
      <c r="D175" s="342">
        <v>109984.299999237</v>
      </c>
      <c r="E175" s="342">
        <v>3703</v>
      </c>
      <c r="F175" s="342">
        <v>106281.299999237</v>
      </c>
      <c r="G175" s="342">
        <v>84481.5003415346</v>
      </c>
      <c r="H175" s="342">
        <v>46315.3502631187</v>
      </c>
      <c r="I175" s="342">
        <v>38166.1500784159</v>
      </c>
      <c r="J175" s="342">
        <v>1957.59999400377</v>
      </c>
      <c r="K175" s="343">
        <v>82523.900347530827</v>
      </c>
      <c r="L175" s="342">
        <v>53505.089634418502</v>
      </c>
      <c r="M175" s="342">
        <v>839.5</v>
      </c>
      <c r="N175" s="354">
        <v>579</v>
      </c>
      <c r="O175" s="343">
        <v>189.95561312476167</v>
      </c>
      <c r="P175" s="343">
        <v>96.09621824666408</v>
      </c>
      <c r="Q175" s="343">
        <v>145.90932701474023</v>
      </c>
      <c r="R175" s="344">
        <v>0.76812327161350002</v>
      </c>
      <c r="S175" s="344">
        <v>1.573736571792165</v>
      </c>
      <c r="T175" s="343">
        <v>105129.94</v>
      </c>
      <c r="U175" s="342">
        <v>79910.759999999995</v>
      </c>
      <c r="V175" s="342">
        <v>4576.66</v>
      </c>
      <c r="W175" s="344">
        <f t="shared" si="27"/>
        <v>5.7272137068900358E-2</v>
      </c>
      <c r="X175" s="342">
        <v>1654.08</v>
      </c>
      <c r="Y175" s="344">
        <f t="shared" si="28"/>
        <v>2.069908983471062E-2</v>
      </c>
      <c r="Z175" s="342">
        <v>2999.16</v>
      </c>
      <c r="AA175" s="344">
        <f t="shared" si="20"/>
        <v>3.7531366239039653E-2</v>
      </c>
      <c r="AB175" s="342">
        <v>7172.48</v>
      </c>
      <c r="AC175" s="344">
        <f t="shared" si="21"/>
        <v>8.9756122955156475E-2</v>
      </c>
      <c r="AD175" s="342">
        <v>25219.18</v>
      </c>
      <c r="AE175" s="342">
        <v>2484.0500000000002</v>
      </c>
      <c r="AF175" s="344">
        <f t="shared" si="22"/>
        <v>9.8498444437923841E-2</v>
      </c>
      <c r="AG175" s="342">
        <v>4315.05</v>
      </c>
      <c r="AH175" s="344">
        <f t="shared" si="23"/>
        <v>0.17110191528828456</v>
      </c>
      <c r="AI175" s="342">
        <v>1821.75</v>
      </c>
      <c r="AJ175" s="344">
        <f t="shared" si="24"/>
        <v>7.2236686521924984E-2</v>
      </c>
      <c r="AK175" s="342">
        <v>8980.41</v>
      </c>
      <c r="AL175" s="784">
        <f t="shared" si="25"/>
        <v>0.35609444874892837</v>
      </c>
      <c r="AM175" s="350">
        <v>24.750515410453982</v>
      </c>
      <c r="AN175" s="350">
        <v>19.738214468148144</v>
      </c>
      <c r="AO175" s="350">
        <v>126.69417806307563</v>
      </c>
      <c r="AP175" s="639">
        <f t="shared" si="26"/>
        <v>3.5183504392243894E-2</v>
      </c>
    </row>
    <row r="176" spans="1:42" x14ac:dyDescent="0.2">
      <c r="A176" s="638">
        <v>42461</v>
      </c>
      <c r="B176" s="341" t="s">
        <v>135</v>
      </c>
      <c r="C176" s="351" t="s">
        <v>179</v>
      </c>
      <c r="D176" s="342">
        <v>90069</v>
      </c>
      <c r="E176" s="342">
        <v>6928</v>
      </c>
      <c r="F176" s="342">
        <v>83141</v>
      </c>
      <c r="G176" s="342">
        <v>63628.090266704603</v>
      </c>
      <c r="H176" s="342">
        <v>30134.5802493095</v>
      </c>
      <c r="I176" s="342">
        <v>33493.510017394998</v>
      </c>
      <c r="J176" s="342">
        <v>527.10999989509605</v>
      </c>
      <c r="K176" s="343">
        <v>63100.980266809405</v>
      </c>
      <c r="L176" s="342">
        <v>33999.829717636101</v>
      </c>
      <c r="M176" s="342">
        <v>491</v>
      </c>
      <c r="N176" s="354">
        <v>471</v>
      </c>
      <c r="O176" s="343">
        <v>191.22929936305732</v>
      </c>
      <c r="P176" s="343">
        <v>118.00036153368131</v>
      </c>
      <c r="Q176" s="343">
        <v>135.09148676582697</v>
      </c>
      <c r="R176" s="344">
        <v>0.70643717890400137</v>
      </c>
      <c r="S176" s="344">
        <v>1.1558013585973943</v>
      </c>
      <c r="T176" s="343">
        <v>74185.61</v>
      </c>
      <c r="U176" s="342">
        <v>53492.06</v>
      </c>
      <c r="V176" s="342">
        <v>860.5</v>
      </c>
      <c r="W176" s="344">
        <f t="shared" si="27"/>
        <v>1.6086499566477716E-2</v>
      </c>
      <c r="X176" s="342">
        <v>1241</v>
      </c>
      <c r="Y176" s="344">
        <f t="shared" si="28"/>
        <v>2.3199704778615743E-2</v>
      </c>
      <c r="Z176" s="342">
        <v>553</v>
      </c>
      <c r="AA176" s="344">
        <f t="shared" si="20"/>
        <v>1.0337982870728853E-2</v>
      </c>
      <c r="AB176" s="342">
        <v>2971.7</v>
      </c>
      <c r="AC176" s="344">
        <f t="shared" si="21"/>
        <v>5.555403923498179E-2</v>
      </c>
      <c r="AD176" s="342">
        <v>20693.55</v>
      </c>
      <c r="AE176" s="342">
        <v>1239.99</v>
      </c>
      <c r="AF176" s="344">
        <f t="shared" si="22"/>
        <v>5.9921569764491839E-2</v>
      </c>
      <c r="AG176" s="342">
        <v>629.04999999999995</v>
      </c>
      <c r="AH176" s="344">
        <f t="shared" si="23"/>
        <v>3.0398360841904844E-2</v>
      </c>
      <c r="AI176" s="342">
        <v>1947.73</v>
      </c>
      <c r="AJ176" s="344">
        <f t="shared" si="24"/>
        <v>9.4122564760517169E-2</v>
      </c>
      <c r="AK176" s="342">
        <v>10547.18</v>
      </c>
      <c r="AL176" s="784">
        <f t="shared" si="25"/>
        <v>0.50968441857487001</v>
      </c>
      <c r="AM176" s="350">
        <v>25.692512108377176</v>
      </c>
      <c r="AN176" s="350">
        <v>20.175558864214722</v>
      </c>
      <c r="AO176" s="350">
        <v>87.643270588235296</v>
      </c>
      <c r="AP176" s="639">
        <f t="shared" si="26"/>
        <v>9.4841193442879307E-3</v>
      </c>
    </row>
    <row r="177" spans="1:42" x14ac:dyDescent="0.2">
      <c r="A177" s="638">
        <v>42461</v>
      </c>
      <c r="B177" s="341" t="s">
        <v>135</v>
      </c>
      <c r="C177" s="351" t="s">
        <v>186</v>
      </c>
      <c r="D177" s="342">
        <v>72083.5</v>
      </c>
      <c r="E177" s="342">
        <v>6206</v>
      </c>
      <c r="F177" s="342">
        <v>65877.5</v>
      </c>
      <c r="G177" s="342">
        <v>48281.9301972389</v>
      </c>
      <c r="H177" s="342">
        <v>24699.850167751301</v>
      </c>
      <c r="I177" s="342">
        <v>23582.080029487599</v>
      </c>
      <c r="J177" s="342">
        <v>332.63999986648599</v>
      </c>
      <c r="K177" s="343">
        <v>47949.290197372415</v>
      </c>
      <c r="L177" s="342">
        <v>27471.419771194502</v>
      </c>
      <c r="M177" s="342">
        <v>79.200000762938998</v>
      </c>
      <c r="N177" s="354">
        <v>397</v>
      </c>
      <c r="O177" s="343">
        <v>181.5705289672544</v>
      </c>
      <c r="P177" s="343">
        <v>112.17350183386036</v>
      </c>
      <c r="Q177" s="343">
        <v>121.61695263788135</v>
      </c>
      <c r="R177" s="344">
        <v>0.66980557544013397</v>
      </c>
      <c r="S177" s="344">
        <v>1.0923454250020319</v>
      </c>
      <c r="T177" s="343">
        <v>48337.520000000004</v>
      </c>
      <c r="U177" s="342">
        <v>42377.61</v>
      </c>
      <c r="V177" s="342">
        <v>2144.87</v>
      </c>
      <c r="W177" s="344">
        <f t="shared" si="27"/>
        <v>5.0613283759985514E-2</v>
      </c>
      <c r="X177" s="342">
        <v>134</v>
      </c>
      <c r="Y177" s="344">
        <f t="shared" si="28"/>
        <v>3.1620471281886826E-3</v>
      </c>
      <c r="Z177" s="342">
        <v>0</v>
      </c>
      <c r="AA177" s="344">
        <f t="shared" si="20"/>
        <v>0</v>
      </c>
      <c r="AB177" s="342">
        <v>0</v>
      </c>
      <c r="AC177" s="344">
        <f t="shared" si="21"/>
        <v>0</v>
      </c>
      <c r="AD177" s="342">
        <v>5959.91</v>
      </c>
      <c r="AE177" s="342">
        <v>1170.52</v>
      </c>
      <c r="AF177" s="344">
        <f t="shared" si="22"/>
        <v>0.19639893891015134</v>
      </c>
      <c r="AG177" s="342">
        <v>1467.48</v>
      </c>
      <c r="AH177" s="344">
        <f t="shared" si="23"/>
        <v>0.24622519467575854</v>
      </c>
      <c r="AI177" s="342">
        <v>0</v>
      </c>
      <c r="AJ177" s="344">
        <f t="shared" si="24"/>
        <v>0</v>
      </c>
      <c r="AK177" s="342">
        <v>0</v>
      </c>
      <c r="AL177" s="784">
        <f t="shared" si="25"/>
        <v>0</v>
      </c>
      <c r="AM177" s="350">
        <v>21.033020577650323</v>
      </c>
      <c r="AN177" s="350">
        <v>20.055811010200223</v>
      </c>
      <c r="AO177" s="350">
        <v>32.182870342593148</v>
      </c>
      <c r="AP177" s="639">
        <f t="shared" si="26"/>
        <v>7.4695370738006089E-3</v>
      </c>
    </row>
    <row r="178" spans="1:42" x14ac:dyDescent="0.2">
      <c r="A178" s="638">
        <v>42461</v>
      </c>
      <c r="B178" s="341" t="s">
        <v>135</v>
      </c>
      <c r="C178" s="351" t="s">
        <v>187</v>
      </c>
      <c r="D178" s="342">
        <v>79287.5</v>
      </c>
      <c r="E178" s="342">
        <v>4626</v>
      </c>
      <c r="F178" s="342">
        <v>74661.5</v>
      </c>
      <c r="G178" s="342">
        <v>59940.060316372699</v>
      </c>
      <c r="H178" s="342">
        <v>30156.5302651413</v>
      </c>
      <c r="I178" s="342">
        <v>29783.530051231399</v>
      </c>
      <c r="J178" s="342">
        <v>1244.35000133514</v>
      </c>
      <c r="K178" s="343">
        <v>58695.710315037562</v>
      </c>
      <c r="L178" s="342">
        <v>33132.9396688454</v>
      </c>
      <c r="M178" s="342">
        <v>507</v>
      </c>
      <c r="N178" s="354">
        <v>439</v>
      </c>
      <c r="O178" s="343">
        <v>180.60933940774487</v>
      </c>
      <c r="P178" s="343">
        <v>103.98077524181002</v>
      </c>
      <c r="Q178" s="343">
        <v>136.53772281633871</v>
      </c>
      <c r="R178" s="344">
        <v>0.75598373408636543</v>
      </c>
      <c r="S178" s="344">
        <v>1.3499037540562533</v>
      </c>
      <c r="T178" s="343">
        <v>60635.72</v>
      </c>
      <c r="U178" s="342">
        <v>50545.1</v>
      </c>
      <c r="V178" s="342">
        <v>2477.08</v>
      </c>
      <c r="W178" s="344">
        <f t="shared" si="27"/>
        <v>4.9007322173662729E-2</v>
      </c>
      <c r="X178" s="342">
        <v>1362.45</v>
      </c>
      <c r="Y178" s="344">
        <f t="shared" si="28"/>
        <v>2.6955135116954958E-2</v>
      </c>
      <c r="Z178" s="342">
        <v>502.3</v>
      </c>
      <c r="AA178" s="344">
        <f t="shared" si="20"/>
        <v>9.9376596346629053E-3</v>
      </c>
      <c r="AB178" s="342">
        <v>1781.57</v>
      </c>
      <c r="AC178" s="344">
        <f t="shared" si="21"/>
        <v>3.5247135726311746E-2</v>
      </c>
      <c r="AD178" s="342">
        <v>10090.620000000001</v>
      </c>
      <c r="AE178" s="342">
        <v>1845.56</v>
      </c>
      <c r="AF178" s="344">
        <f t="shared" si="22"/>
        <v>0.18289857313029326</v>
      </c>
      <c r="AG178" s="342">
        <v>2007.46</v>
      </c>
      <c r="AH178" s="344">
        <f t="shared" si="23"/>
        <v>0.19894317693065439</v>
      </c>
      <c r="AI178" s="342">
        <v>343.22</v>
      </c>
      <c r="AJ178" s="344">
        <f t="shared" si="24"/>
        <v>3.4013767241259707E-2</v>
      </c>
      <c r="AK178" s="342">
        <v>5959.94</v>
      </c>
      <c r="AL178" s="784">
        <f t="shared" si="25"/>
        <v>0.59064160576852553</v>
      </c>
      <c r="AM178" s="350">
        <v>21.424301542995455</v>
      </c>
      <c r="AN178" s="350">
        <v>18.880481255476155</v>
      </c>
      <c r="AO178" s="350">
        <v>65.899121979537043</v>
      </c>
      <c r="AP178" s="639">
        <f t="shared" si="26"/>
        <v>2.7259945379509522E-2</v>
      </c>
    </row>
    <row r="179" spans="1:42" x14ac:dyDescent="0.2">
      <c r="A179" s="638">
        <v>42461</v>
      </c>
      <c r="B179" s="341" t="s">
        <v>135</v>
      </c>
      <c r="C179" s="351" t="s">
        <v>188</v>
      </c>
      <c r="D179" s="342">
        <v>103941</v>
      </c>
      <c r="E179" s="342">
        <v>6161</v>
      </c>
      <c r="F179" s="342">
        <v>97780</v>
      </c>
      <c r="G179" s="342">
        <v>70853.880309671207</v>
      </c>
      <c r="H179" s="342">
        <v>34782.200244665102</v>
      </c>
      <c r="I179" s="342">
        <v>36071.680065006003</v>
      </c>
      <c r="J179" s="342">
        <v>1189.96999549866</v>
      </c>
      <c r="K179" s="343">
        <v>69663.910314172448</v>
      </c>
      <c r="L179" s="342">
        <v>40024.369598388701</v>
      </c>
      <c r="M179" s="342">
        <v>713.700000762939</v>
      </c>
      <c r="N179" s="354">
        <v>634</v>
      </c>
      <c r="O179" s="343">
        <v>163.94479495268138</v>
      </c>
      <c r="P179" s="343">
        <v>99.689164670107829</v>
      </c>
      <c r="Q179" s="343">
        <v>111.75690900579039</v>
      </c>
      <c r="R179" s="344">
        <v>0.68167402959054757</v>
      </c>
      <c r="S179" s="344">
        <v>1.1425656805695528</v>
      </c>
      <c r="T179" s="343">
        <v>97424.4</v>
      </c>
      <c r="U179" s="342">
        <v>71792.11</v>
      </c>
      <c r="V179" s="342">
        <v>2933.42</v>
      </c>
      <c r="W179" s="344">
        <f t="shared" si="27"/>
        <v>4.0859921793634429E-2</v>
      </c>
      <c r="X179" s="342">
        <v>1176</v>
      </c>
      <c r="Y179" s="344">
        <f t="shared" si="28"/>
        <v>1.6380630127739663E-2</v>
      </c>
      <c r="Z179" s="342">
        <v>284.83999999999997</v>
      </c>
      <c r="AA179" s="344">
        <f t="shared" si="20"/>
        <v>3.9675669095113652E-3</v>
      </c>
      <c r="AB179" s="342">
        <v>3950.94</v>
      </c>
      <c r="AC179" s="344">
        <f t="shared" si="21"/>
        <v>5.503306700415965E-2</v>
      </c>
      <c r="AD179" s="342">
        <v>25632.29</v>
      </c>
      <c r="AE179" s="342">
        <v>2751.04</v>
      </c>
      <c r="AF179" s="344">
        <f t="shared" si="22"/>
        <v>0.10732712527831106</v>
      </c>
      <c r="AG179" s="342">
        <v>2420.96</v>
      </c>
      <c r="AH179" s="344">
        <f t="shared" si="23"/>
        <v>9.4449618040370178E-2</v>
      </c>
      <c r="AI179" s="342">
        <v>1383.07</v>
      </c>
      <c r="AJ179" s="344">
        <f t="shared" si="24"/>
        <v>5.3958112989514397E-2</v>
      </c>
      <c r="AK179" s="342">
        <v>12967</v>
      </c>
      <c r="AL179" s="784">
        <f t="shared" si="25"/>
        <v>0.50588535007991875</v>
      </c>
      <c r="AM179" s="350">
        <v>28.226775827061896</v>
      </c>
      <c r="AN179" s="350">
        <v>22.104844034748794</v>
      </c>
      <c r="AO179" s="350">
        <v>125.84039384682524</v>
      </c>
      <c r="AP179" s="639">
        <f t="shared" si="26"/>
        <v>1.8827766180327096E-2</v>
      </c>
    </row>
    <row r="180" spans="1:42" x14ac:dyDescent="0.2">
      <c r="A180" s="638">
        <v>42461</v>
      </c>
      <c r="B180" s="341" t="s">
        <v>136</v>
      </c>
      <c r="C180" s="351" t="s">
        <v>189</v>
      </c>
      <c r="D180" s="342">
        <v>80656.8500013538</v>
      </c>
      <c r="E180" s="342">
        <v>3923</v>
      </c>
      <c r="F180" s="342">
        <v>76733.8500013538</v>
      </c>
      <c r="G180" s="342">
        <v>67738.169914483995</v>
      </c>
      <c r="H180" s="342">
        <v>36797.049913167997</v>
      </c>
      <c r="I180" s="342">
        <v>30941.1200013161</v>
      </c>
      <c r="J180" s="342">
        <v>545</v>
      </c>
      <c r="K180" s="343">
        <v>67193.169914484097</v>
      </c>
      <c r="L180" s="342">
        <v>37002.900112748102</v>
      </c>
      <c r="M180" s="342">
        <v>248.5</v>
      </c>
      <c r="N180" s="354">
        <v>393</v>
      </c>
      <c r="O180" s="343">
        <v>205.23371501616742</v>
      </c>
      <c r="P180" s="343">
        <v>110.44643737558701</v>
      </c>
      <c r="Q180" s="343">
        <v>172.36175550759313</v>
      </c>
      <c r="R180" s="344">
        <v>0.83983158173604766</v>
      </c>
      <c r="S180" s="344">
        <v>1.580435345185027</v>
      </c>
      <c r="T180" s="343">
        <v>78118.92</v>
      </c>
      <c r="U180" s="342">
        <v>55856.480000000003</v>
      </c>
      <c r="V180" s="342">
        <v>2742.27</v>
      </c>
      <c r="W180" s="344">
        <f t="shared" si="27"/>
        <v>4.9094930436003124E-2</v>
      </c>
      <c r="X180" s="342">
        <v>1182.8800000000001</v>
      </c>
      <c r="Y180" s="344">
        <f t="shared" si="28"/>
        <v>2.1177131104573723E-2</v>
      </c>
      <c r="Z180" s="342">
        <v>524.44000000000005</v>
      </c>
      <c r="AA180" s="344">
        <f t="shared" si="20"/>
        <v>9.3890628267302208E-3</v>
      </c>
      <c r="AB180" s="342">
        <v>2249.75</v>
      </c>
      <c r="AC180" s="344">
        <f t="shared" si="21"/>
        <v>4.0277332191358997E-2</v>
      </c>
      <c r="AD180" s="342">
        <v>22262.44</v>
      </c>
      <c r="AE180" s="342">
        <v>2688.14</v>
      </c>
      <c r="AF180" s="344">
        <f t="shared" si="22"/>
        <v>0.12074777068461498</v>
      </c>
      <c r="AG180" s="342">
        <v>1542.92</v>
      </c>
      <c r="AH180" s="344">
        <f t="shared" si="23"/>
        <v>6.9305970055393754E-2</v>
      </c>
      <c r="AI180" s="342">
        <v>2862.94</v>
      </c>
      <c r="AJ180" s="344">
        <f t="shared" si="24"/>
        <v>0.12859956051537927</v>
      </c>
      <c r="AK180" s="342">
        <v>9294.5400000000009</v>
      </c>
      <c r="AL180" s="784">
        <f t="shared" si="25"/>
        <v>0.41749871083313428</v>
      </c>
      <c r="AM180" s="350">
        <v>23.741204729036649</v>
      </c>
      <c r="AN180" s="350">
        <v>17.779611865415408</v>
      </c>
      <c r="AO180" s="350">
        <v>149.5796640537514</v>
      </c>
      <c r="AP180" s="639">
        <f t="shared" si="26"/>
        <v>1.2556026982756079E-2</v>
      </c>
    </row>
    <row r="181" spans="1:42" x14ac:dyDescent="0.2">
      <c r="A181" s="638">
        <v>42461</v>
      </c>
      <c r="B181" s="341" t="s">
        <v>136</v>
      </c>
      <c r="C181" s="351" t="s">
        <v>190</v>
      </c>
      <c r="D181" s="342">
        <v>158395.86000133501</v>
      </c>
      <c r="E181" s="342">
        <v>9983</v>
      </c>
      <c r="F181" s="342">
        <v>148412.86000133501</v>
      </c>
      <c r="G181" s="342">
        <v>119414.95982546</v>
      </c>
      <c r="H181" s="342">
        <v>54882.489808026701</v>
      </c>
      <c r="I181" s="342">
        <v>64532.470017433203</v>
      </c>
      <c r="J181" s="342">
        <v>1234.46999168396</v>
      </c>
      <c r="K181" s="343">
        <v>118180.48983377594</v>
      </c>
      <c r="L181" s="342">
        <v>64530.310252245501</v>
      </c>
      <c r="M181" s="342">
        <v>545.5</v>
      </c>
      <c r="N181" s="354">
        <v>781</v>
      </c>
      <c r="O181" s="343">
        <v>202.81160051387326</v>
      </c>
      <c r="P181" s="343">
        <v>119.48789980677273</v>
      </c>
      <c r="Q181" s="343">
        <v>152.90007660110103</v>
      </c>
      <c r="R181" s="344">
        <v>0.75390202638158244</v>
      </c>
      <c r="S181" s="344">
        <v>1.296782407626168</v>
      </c>
      <c r="T181" s="343">
        <v>140922.36000000002</v>
      </c>
      <c r="U181" s="342">
        <v>95330.240000000005</v>
      </c>
      <c r="V181" s="342">
        <v>5650.38</v>
      </c>
      <c r="W181" s="344">
        <f t="shared" si="27"/>
        <v>5.9271643499481379E-2</v>
      </c>
      <c r="X181" s="342">
        <v>1536.26</v>
      </c>
      <c r="Y181" s="344">
        <f t="shared" si="28"/>
        <v>1.6115138281409969E-2</v>
      </c>
      <c r="Z181" s="342">
        <v>764.16</v>
      </c>
      <c r="AA181" s="344">
        <f t="shared" si="20"/>
        <v>8.0159244327927832E-3</v>
      </c>
      <c r="AB181" s="342">
        <v>4066.12</v>
      </c>
      <c r="AC181" s="344">
        <f t="shared" si="21"/>
        <v>4.2652992376815579E-2</v>
      </c>
      <c r="AD181" s="342">
        <v>45592.12</v>
      </c>
      <c r="AE181" s="342">
        <v>4702.41</v>
      </c>
      <c r="AF181" s="344">
        <f t="shared" si="22"/>
        <v>0.10314084977842661</v>
      </c>
      <c r="AG181" s="342">
        <v>4597.53</v>
      </c>
      <c r="AH181" s="344">
        <f t="shared" si="23"/>
        <v>0.10084045225359117</v>
      </c>
      <c r="AI181" s="342">
        <v>4612.24</v>
      </c>
      <c r="AJ181" s="344">
        <f t="shared" si="24"/>
        <v>0.10116309572794596</v>
      </c>
      <c r="AK181" s="342">
        <v>22950.85</v>
      </c>
      <c r="AL181" s="784">
        <f t="shared" si="25"/>
        <v>0.50339510424169787</v>
      </c>
      <c r="AM181" s="350">
        <v>25.464547132551132</v>
      </c>
      <c r="AN181" s="350">
        <v>18.297102118183343</v>
      </c>
      <c r="AO181" s="350">
        <v>140.74537970775881</v>
      </c>
      <c r="AP181" s="639">
        <f t="shared" si="26"/>
        <v>1.3228346909405761E-2</v>
      </c>
    </row>
    <row r="182" spans="1:42" x14ac:dyDescent="0.2">
      <c r="A182" s="638">
        <v>42461</v>
      </c>
      <c r="B182" s="341" t="s">
        <v>136</v>
      </c>
      <c r="C182" s="351" t="s">
        <v>191</v>
      </c>
      <c r="D182" s="342">
        <v>142710.020005951</v>
      </c>
      <c r="E182" s="342">
        <v>7497</v>
      </c>
      <c r="F182" s="342">
        <v>135213.020005951</v>
      </c>
      <c r="G182" s="342">
        <v>107436.88970303501</v>
      </c>
      <c r="H182" s="342">
        <v>58963.3797237873</v>
      </c>
      <c r="I182" s="342">
        <v>48473.509979248003</v>
      </c>
      <c r="J182" s="342">
        <v>428.38000106811501</v>
      </c>
      <c r="K182" s="343">
        <v>107008.50970196718</v>
      </c>
      <c r="L182" s="342">
        <v>60449.530326843298</v>
      </c>
      <c r="M182" s="342">
        <v>343.540000915527</v>
      </c>
      <c r="N182" s="354">
        <v>671</v>
      </c>
      <c r="O182" s="343">
        <v>212.6825931534292</v>
      </c>
      <c r="P182" s="343">
        <v>122.0818922178721</v>
      </c>
      <c r="Q182" s="343">
        <v>160.11458972136407</v>
      </c>
      <c r="R182" s="344">
        <v>0.7528335410404623</v>
      </c>
      <c r="S182" s="344">
        <v>1.3184289542536369</v>
      </c>
      <c r="T182" s="343">
        <v>113017.81999999999</v>
      </c>
      <c r="U182" s="342">
        <v>86931.01</v>
      </c>
      <c r="V182" s="342">
        <v>2136.52</v>
      </c>
      <c r="W182" s="344">
        <f t="shared" si="27"/>
        <v>2.457719057905804E-2</v>
      </c>
      <c r="X182" s="342">
        <v>1195.69</v>
      </c>
      <c r="Y182" s="344">
        <f t="shared" si="28"/>
        <v>1.3754470355285186E-2</v>
      </c>
      <c r="Z182" s="342">
        <v>2443.3200000000002</v>
      </c>
      <c r="AA182" s="344">
        <f t="shared" si="20"/>
        <v>2.8106426003793126E-2</v>
      </c>
      <c r="AB182" s="342">
        <v>1309.3800000000001</v>
      </c>
      <c r="AC182" s="344">
        <f t="shared" si="21"/>
        <v>1.506228904967284E-2</v>
      </c>
      <c r="AD182" s="342">
        <v>26086.81</v>
      </c>
      <c r="AE182" s="342">
        <v>4643.5600000000004</v>
      </c>
      <c r="AF182" s="344">
        <f t="shared" si="22"/>
        <v>0.17800413312321439</v>
      </c>
      <c r="AG182" s="342">
        <v>2910.37</v>
      </c>
      <c r="AH182" s="344">
        <f t="shared" si="23"/>
        <v>0.11156480995568258</v>
      </c>
      <c r="AI182" s="342">
        <v>2376.5500000000002</v>
      </c>
      <c r="AJ182" s="344">
        <f t="shared" si="24"/>
        <v>9.110159502062537E-2</v>
      </c>
      <c r="AK182" s="342">
        <v>7065</v>
      </c>
      <c r="AL182" s="784">
        <f t="shared" si="25"/>
        <v>0.27082652114229372</v>
      </c>
      <c r="AM182" s="350">
        <v>22.7274457507344</v>
      </c>
      <c r="AN182" s="350">
        <v>18.276334205333722</v>
      </c>
      <c r="AO182" s="350">
        <v>120.62335080147966</v>
      </c>
      <c r="AP182" s="639">
        <f t="shared" si="26"/>
        <v>5.2294427801693128E-3</v>
      </c>
    </row>
    <row r="183" spans="1:42" x14ac:dyDescent="0.2">
      <c r="A183" s="638">
        <v>42461</v>
      </c>
      <c r="B183" s="341" t="s">
        <v>136</v>
      </c>
      <c r="C183" s="351" t="s">
        <v>192</v>
      </c>
      <c r="D183" s="342">
        <v>215674.62000398501</v>
      </c>
      <c r="E183" s="342">
        <v>11358</v>
      </c>
      <c r="F183" s="342">
        <v>204316.62000398501</v>
      </c>
      <c r="G183" s="342">
        <v>160697.01974919401</v>
      </c>
      <c r="H183" s="342">
        <v>96503.719748496995</v>
      </c>
      <c r="I183" s="342">
        <v>64193.300000697403</v>
      </c>
      <c r="J183" s="342">
        <v>1549.4099969863901</v>
      </c>
      <c r="K183" s="343">
        <v>159147.60975220799</v>
      </c>
      <c r="L183" s="342">
        <v>72015.650257497997</v>
      </c>
      <c r="M183" s="342">
        <v>504.51000213623001</v>
      </c>
      <c r="N183" s="354">
        <v>1320</v>
      </c>
      <c r="O183" s="343">
        <v>163.38986363938258</v>
      </c>
      <c r="P183" s="343">
        <v>108.45034829117483</v>
      </c>
      <c r="Q183" s="343">
        <v>121.74016647666241</v>
      </c>
      <c r="R183" s="344">
        <v>0.7450900794271722</v>
      </c>
      <c r="S183" s="344">
        <v>1.1348254884687496</v>
      </c>
      <c r="T183" s="343">
        <v>190004.76</v>
      </c>
      <c r="U183" s="342">
        <v>139763.94</v>
      </c>
      <c r="V183" s="342">
        <v>3298.13</v>
      </c>
      <c r="W183" s="344">
        <f t="shared" si="27"/>
        <v>2.3597860792991383E-2</v>
      </c>
      <c r="X183" s="342">
        <v>2049.11</v>
      </c>
      <c r="Y183" s="344">
        <f t="shared" si="28"/>
        <v>1.4661220912919314E-2</v>
      </c>
      <c r="Z183" s="342">
        <v>2122.81</v>
      </c>
      <c r="AA183" s="344">
        <f t="shared" si="20"/>
        <v>1.5188538617328618E-2</v>
      </c>
      <c r="AB183" s="342">
        <v>4064.03</v>
      </c>
      <c r="AC183" s="344">
        <f t="shared" si="21"/>
        <v>2.9077815064457974E-2</v>
      </c>
      <c r="AD183" s="342">
        <v>50240.82</v>
      </c>
      <c r="AE183" s="342">
        <v>5440.31</v>
      </c>
      <c r="AF183" s="344">
        <f t="shared" si="22"/>
        <v>0.10828465777429588</v>
      </c>
      <c r="AG183" s="342">
        <v>5283.04</v>
      </c>
      <c r="AH183" s="344">
        <f t="shared" si="23"/>
        <v>0.10515433466253138</v>
      </c>
      <c r="AI183" s="342">
        <v>5120.75</v>
      </c>
      <c r="AJ183" s="344">
        <f t="shared" si="24"/>
        <v>0.10192409279944077</v>
      </c>
      <c r="AK183" s="342">
        <v>18424.22</v>
      </c>
      <c r="AL183" s="784">
        <f t="shared" si="25"/>
        <v>0.36671813875649323</v>
      </c>
      <c r="AM183" s="350">
        <v>28.177098148970281</v>
      </c>
      <c r="AN183" s="350">
        <v>21.872898089560987</v>
      </c>
      <c r="AO183" s="350">
        <v>142.15970698273964</v>
      </c>
      <c r="AP183" s="639">
        <f t="shared" si="26"/>
        <v>1.0823344237779036E-2</v>
      </c>
    </row>
    <row r="184" spans="1:42" x14ac:dyDescent="0.2">
      <c r="A184" s="638">
        <v>42461</v>
      </c>
      <c r="B184" s="341" t="s">
        <v>136</v>
      </c>
      <c r="C184" s="351" t="s">
        <v>193</v>
      </c>
      <c r="D184" s="342">
        <v>23588.760002136201</v>
      </c>
      <c r="E184" s="342">
        <v>1304</v>
      </c>
      <c r="F184" s="342">
        <v>22284.760002136201</v>
      </c>
      <c r="G184" s="342">
        <v>7129.9399890899704</v>
      </c>
      <c r="H184" s="342">
        <v>1989.3999805450401</v>
      </c>
      <c r="I184" s="342">
        <v>5140.5400085449201</v>
      </c>
      <c r="J184" s="342">
        <v>0</v>
      </c>
      <c r="K184" s="343">
        <v>7129.9399890899604</v>
      </c>
      <c r="L184" s="342">
        <v>2143.0900192260701</v>
      </c>
      <c r="M184" s="342">
        <v>0</v>
      </c>
      <c r="N184" s="354">
        <v>100</v>
      </c>
      <c r="O184" s="343">
        <v>235.887600021362</v>
      </c>
      <c r="P184" s="343">
        <v>214.4566998291013</v>
      </c>
      <c r="Q184" s="343">
        <v>71.299399890899608</v>
      </c>
      <c r="R184" s="344">
        <v>0.30226005896216129</v>
      </c>
      <c r="S184" s="344">
        <v>0.33246524798580546</v>
      </c>
      <c r="T184" s="343">
        <v>16117.39</v>
      </c>
      <c r="U184" s="342">
        <v>15501.41</v>
      </c>
      <c r="V184" s="342">
        <v>0</v>
      </c>
      <c r="W184" s="344">
        <f t="shared" si="27"/>
        <v>0</v>
      </c>
      <c r="X184" s="342">
        <v>0</v>
      </c>
      <c r="Y184" s="344">
        <f t="shared" si="28"/>
        <v>0</v>
      </c>
      <c r="Z184" s="342">
        <v>0</v>
      </c>
      <c r="AA184" s="344">
        <f t="shared" si="20"/>
        <v>0</v>
      </c>
      <c r="AB184" s="342">
        <v>0</v>
      </c>
      <c r="AC184" s="344">
        <f t="shared" si="21"/>
        <v>0</v>
      </c>
      <c r="AD184" s="342">
        <v>615.98</v>
      </c>
      <c r="AE184" s="342">
        <v>0</v>
      </c>
      <c r="AF184" s="344">
        <f t="shared" si="22"/>
        <v>0</v>
      </c>
      <c r="AG184" s="342">
        <v>0</v>
      </c>
      <c r="AH184" s="344">
        <f t="shared" si="23"/>
        <v>0</v>
      </c>
      <c r="AI184" s="342">
        <v>0</v>
      </c>
      <c r="AJ184" s="344">
        <f t="shared" si="24"/>
        <v>0</v>
      </c>
      <c r="AK184" s="342">
        <v>0</v>
      </c>
      <c r="AL184" s="784">
        <f t="shared" si="25"/>
        <v>0</v>
      </c>
      <c r="AM184" s="350">
        <v>39.247273509001708</v>
      </c>
      <c r="AN184" s="350">
        <v>39.856623478937834</v>
      </c>
      <c r="AO184" s="350">
        <v>28.342638036809817</v>
      </c>
      <c r="AP184" s="639">
        <f t="shared" si="26"/>
        <v>0</v>
      </c>
    </row>
    <row r="185" spans="1:42" x14ac:dyDescent="0.2">
      <c r="A185" s="638">
        <v>42461</v>
      </c>
      <c r="B185" s="341" t="s">
        <v>136</v>
      </c>
      <c r="C185" s="351" t="s">
        <v>194</v>
      </c>
      <c r="D185" s="342">
        <v>88428.880002269507</v>
      </c>
      <c r="E185" s="342">
        <v>6892</v>
      </c>
      <c r="F185" s="342">
        <v>81536.880002269507</v>
      </c>
      <c r="G185" s="342">
        <v>64225.839843977199</v>
      </c>
      <c r="H185" s="342">
        <v>32096.729845929902</v>
      </c>
      <c r="I185" s="342">
        <v>32129.109998047399</v>
      </c>
      <c r="J185" s="342">
        <v>708.15999794006302</v>
      </c>
      <c r="K185" s="343">
        <v>63517.679846037237</v>
      </c>
      <c r="L185" s="342">
        <v>34364.070143889599</v>
      </c>
      <c r="M185" s="342">
        <v>208.56000137329099</v>
      </c>
      <c r="N185" s="354">
        <v>409</v>
      </c>
      <c r="O185" s="343">
        <v>216.2075305678961</v>
      </c>
      <c r="P185" s="343">
        <v>131.67787251101862</v>
      </c>
      <c r="Q185" s="343">
        <v>157.03139326155818</v>
      </c>
      <c r="R185" s="344">
        <v>0.72629937009638657</v>
      </c>
      <c r="S185" s="344">
        <v>1.2084317614101607</v>
      </c>
      <c r="T185" s="343">
        <v>66885.570000000007</v>
      </c>
      <c r="U185" s="342">
        <v>54123.4</v>
      </c>
      <c r="V185" s="342">
        <v>3358.41</v>
      </c>
      <c r="W185" s="344">
        <f t="shared" si="27"/>
        <v>6.2050979798017117E-2</v>
      </c>
      <c r="X185" s="342">
        <v>1718.98</v>
      </c>
      <c r="Y185" s="344">
        <f t="shared" si="28"/>
        <v>3.1760384602593332E-2</v>
      </c>
      <c r="Z185" s="342">
        <v>688</v>
      </c>
      <c r="AA185" s="344">
        <f t="shared" si="20"/>
        <v>1.2711692170114959E-2</v>
      </c>
      <c r="AB185" s="342">
        <v>-146.19999999999999</v>
      </c>
      <c r="AC185" s="344">
        <f t="shared" si="21"/>
        <v>-2.7012345861494287E-3</v>
      </c>
      <c r="AD185" s="342">
        <v>12762.17</v>
      </c>
      <c r="AE185" s="342">
        <v>1767.97</v>
      </c>
      <c r="AF185" s="344">
        <f t="shared" si="22"/>
        <v>0.13853208349363783</v>
      </c>
      <c r="AG185" s="342">
        <v>2496.4699999999998</v>
      </c>
      <c r="AH185" s="344">
        <f t="shared" si="23"/>
        <v>0.19561485233310635</v>
      </c>
      <c r="AI185" s="342">
        <v>1682.4</v>
      </c>
      <c r="AJ185" s="344">
        <f t="shared" si="24"/>
        <v>0.1318271109066875</v>
      </c>
      <c r="AK185" s="342">
        <v>2045.5</v>
      </c>
      <c r="AL185" s="784">
        <f t="shared" si="25"/>
        <v>0.16027838525893323</v>
      </c>
      <c r="AM185" s="350">
        <v>21.403766716205048</v>
      </c>
      <c r="AN185" s="350">
        <v>18.502465586667501</v>
      </c>
      <c r="AO185" s="350">
        <v>65.484338654503986</v>
      </c>
      <c r="AP185" s="639">
        <f t="shared" si="26"/>
        <v>1.3149077401792626E-2</v>
      </c>
    </row>
    <row r="186" spans="1:42" x14ac:dyDescent="0.2">
      <c r="A186" s="638">
        <v>42461</v>
      </c>
      <c r="B186" s="341" t="s">
        <v>136</v>
      </c>
      <c r="C186" s="351" t="s">
        <v>195</v>
      </c>
      <c r="D186" s="342">
        <v>65068.540000457302</v>
      </c>
      <c r="E186" s="342">
        <v>3470</v>
      </c>
      <c r="F186" s="342">
        <v>61598.540000457302</v>
      </c>
      <c r="G186" s="342">
        <v>45771.589870480799</v>
      </c>
      <c r="H186" s="342">
        <v>27758.809884099301</v>
      </c>
      <c r="I186" s="342">
        <v>18012.779986381502</v>
      </c>
      <c r="J186" s="342">
        <v>724.47000312805199</v>
      </c>
      <c r="K186" s="343">
        <v>45047.119867352754</v>
      </c>
      <c r="L186" s="342">
        <v>22492.440108271301</v>
      </c>
      <c r="M186" s="342">
        <v>116</v>
      </c>
      <c r="N186" s="354">
        <v>373</v>
      </c>
      <c r="O186" s="343">
        <v>174.44648793688285</v>
      </c>
      <c r="P186" s="343">
        <v>113.83404796832708</v>
      </c>
      <c r="Q186" s="343">
        <v>122.71203718627562</v>
      </c>
      <c r="R186" s="344">
        <v>0.70343655889864942</v>
      </c>
      <c r="S186" s="344">
        <v>1.0967029847674825</v>
      </c>
      <c r="T186" s="343">
        <v>43755.22</v>
      </c>
      <c r="U186" s="342">
        <v>38962.54</v>
      </c>
      <c r="V186" s="342">
        <v>172.02</v>
      </c>
      <c r="W186" s="344">
        <f t="shared" si="27"/>
        <v>4.4150099043850843E-3</v>
      </c>
      <c r="X186" s="342">
        <v>454.51</v>
      </c>
      <c r="Y186" s="344">
        <f t="shared" si="28"/>
        <v>1.1665307241263018E-2</v>
      </c>
      <c r="Z186" s="342">
        <v>0</v>
      </c>
      <c r="AA186" s="344">
        <f t="shared" si="20"/>
        <v>0</v>
      </c>
      <c r="AB186" s="342">
        <v>0</v>
      </c>
      <c r="AC186" s="344">
        <f t="shared" si="21"/>
        <v>0</v>
      </c>
      <c r="AD186" s="342">
        <v>4792.68</v>
      </c>
      <c r="AE186" s="342">
        <v>882.82</v>
      </c>
      <c r="AF186" s="344">
        <f t="shared" si="22"/>
        <v>0.18420174098834055</v>
      </c>
      <c r="AG186" s="342">
        <v>1112.3499999999999</v>
      </c>
      <c r="AH186" s="344">
        <f t="shared" si="23"/>
        <v>0.23209352596042296</v>
      </c>
      <c r="AI186" s="342">
        <v>804.16</v>
      </c>
      <c r="AJ186" s="344">
        <f t="shared" si="24"/>
        <v>0.16778921188145254</v>
      </c>
      <c r="AK186" s="342">
        <v>0</v>
      </c>
      <c r="AL186" s="784">
        <f t="shared" si="25"/>
        <v>0</v>
      </c>
      <c r="AM186" s="350">
        <v>21.357318432918778</v>
      </c>
      <c r="AN186" s="350">
        <v>19.867243072116924</v>
      </c>
      <c r="AO186" s="350">
        <v>54.724841410809439</v>
      </c>
      <c r="AP186" s="639">
        <f t="shared" si="26"/>
        <v>1.7062371614000309E-2</v>
      </c>
    </row>
    <row r="187" spans="1:42" x14ac:dyDescent="0.2">
      <c r="A187" s="638">
        <v>42461</v>
      </c>
      <c r="B187" s="341" t="s">
        <v>136</v>
      </c>
      <c r="C187" s="351" t="s">
        <v>196</v>
      </c>
      <c r="D187" s="342">
        <v>68162.890001067906</v>
      </c>
      <c r="E187" s="342">
        <v>4164</v>
      </c>
      <c r="F187" s="342">
        <v>63998.890001067899</v>
      </c>
      <c r="G187" s="342">
        <v>36201.889904022202</v>
      </c>
      <c r="H187" s="342">
        <v>15901.5599040985</v>
      </c>
      <c r="I187" s="342">
        <v>20300.329999923699</v>
      </c>
      <c r="J187" s="342">
        <v>0</v>
      </c>
      <c r="K187" s="343">
        <v>36201.889904022202</v>
      </c>
      <c r="L187" s="342">
        <v>18243.960170745901</v>
      </c>
      <c r="M187" s="342">
        <v>76.5</v>
      </c>
      <c r="N187" s="354">
        <v>386</v>
      </c>
      <c r="O187" s="343">
        <v>176.58779793022771</v>
      </c>
      <c r="P187" s="343">
        <v>129.12546588166319</v>
      </c>
      <c r="Q187" s="343">
        <v>93.787279544098965</v>
      </c>
      <c r="R187" s="344">
        <v>0.53110849471692057</v>
      </c>
      <c r="S187" s="344">
        <v>0.72632674665468511</v>
      </c>
      <c r="T187" s="343">
        <v>42416.520000000004</v>
      </c>
      <c r="U187" s="342">
        <v>37333.19</v>
      </c>
      <c r="V187" s="342">
        <v>0</v>
      </c>
      <c r="W187" s="344">
        <f t="shared" si="27"/>
        <v>0</v>
      </c>
      <c r="X187" s="342">
        <v>0</v>
      </c>
      <c r="Y187" s="344">
        <f t="shared" si="28"/>
        <v>0</v>
      </c>
      <c r="Z187" s="342">
        <v>0</v>
      </c>
      <c r="AA187" s="344">
        <f t="shared" si="20"/>
        <v>0</v>
      </c>
      <c r="AB187" s="342">
        <v>0</v>
      </c>
      <c r="AC187" s="344">
        <f t="shared" si="21"/>
        <v>0</v>
      </c>
      <c r="AD187" s="342">
        <v>5083.33</v>
      </c>
      <c r="AE187" s="342">
        <v>0</v>
      </c>
      <c r="AF187" s="344">
        <f t="shared" si="22"/>
        <v>0</v>
      </c>
      <c r="AG187" s="342">
        <v>0</v>
      </c>
      <c r="AH187" s="344">
        <f t="shared" si="23"/>
        <v>0</v>
      </c>
      <c r="AI187" s="342">
        <v>0</v>
      </c>
      <c r="AJ187" s="344">
        <f t="shared" si="24"/>
        <v>0</v>
      </c>
      <c r="AK187" s="342">
        <v>0</v>
      </c>
      <c r="AL187" s="784">
        <f t="shared" si="25"/>
        <v>0</v>
      </c>
      <c r="AM187" s="350">
        <v>22.418131036114094</v>
      </c>
      <c r="AN187" s="350">
        <v>21.325373225828326</v>
      </c>
      <c r="AO187" s="350">
        <v>35.945763111373012</v>
      </c>
      <c r="AP187" s="639">
        <f t="shared" si="26"/>
        <v>0</v>
      </c>
    </row>
    <row r="188" spans="1:42" x14ac:dyDescent="0.2">
      <c r="A188" s="638">
        <v>42461</v>
      </c>
      <c r="B188" s="341" t="s">
        <v>136</v>
      </c>
      <c r="C188" s="351" t="s">
        <v>290</v>
      </c>
      <c r="D188" s="342">
        <v>0</v>
      </c>
      <c r="E188" s="342">
        <v>0</v>
      </c>
      <c r="F188" s="342">
        <v>0</v>
      </c>
      <c r="G188" s="342">
        <v>0</v>
      </c>
      <c r="H188" s="342">
        <v>0</v>
      </c>
      <c r="I188" s="342">
        <v>0</v>
      </c>
      <c r="J188" s="342">
        <v>0</v>
      </c>
      <c r="K188" s="343">
        <v>0</v>
      </c>
      <c r="L188" s="342">
        <v>0</v>
      </c>
      <c r="M188" s="342">
        <v>0</v>
      </c>
      <c r="N188" s="354">
        <v>0</v>
      </c>
      <c r="O188" s="343" t="s">
        <v>311</v>
      </c>
      <c r="P188" s="343" t="s">
        <v>311</v>
      </c>
      <c r="Q188" s="343" t="s">
        <v>311</v>
      </c>
      <c r="R188" s="344" t="s">
        <v>312</v>
      </c>
      <c r="S188" s="344" t="s">
        <v>312</v>
      </c>
      <c r="T188" s="343">
        <v>0</v>
      </c>
      <c r="U188" s="342">
        <v>0</v>
      </c>
      <c r="V188" s="342">
        <v>0</v>
      </c>
      <c r="W188" s="344" t="str">
        <f t="shared" si="27"/>
        <v>0.00%</v>
      </c>
      <c r="X188" s="342">
        <v>0</v>
      </c>
      <c r="Y188" s="344" t="str">
        <f t="shared" si="28"/>
        <v>0.00%</v>
      </c>
      <c r="Z188" s="342">
        <v>0</v>
      </c>
      <c r="AA188" s="344">
        <f t="shared" si="20"/>
        <v>0</v>
      </c>
      <c r="AB188" s="342">
        <v>0</v>
      </c>
      <c r="AC188" s="344" t="str">
        <f t="shared" si="21"/>
        <v>0.00%</v>
      </c>
      <c r="AD188" s="342">
        <v>0</v>
      </c>
      <c r="AE188" s="342">
        <v>0</v>
      </c>
      <c r="AF188" s="344" t="str">
        <f t="shared" si="22"/>
        <v>0.00%</v>
      </c>
      <c r="AG188" s="342">
        <v>0</v>
      </c>
      <c r="AH188" s="344" t="str">
        <f t="shared" si="23"/>
        <v>0.00%</v>
      </c>
      <c r="AI188" s="342">
        <v>0</v>
      </c>
      <c r="AJ188" s="344">
        <f t="shared" si="24"/>
        <v>0</v>
      </c>
      <c r="AK188" s="342">
        <v>0</v>
      </c>
      <c r="AL188" s="784" t="str">
        <f t="shared" si="25"/>
        <v>0.00%</v>
      </c>
      <c r="AM188" s="350" t="s">
        <v>313</v>
      </c>
      <c r="AN188" s="350" t="s">
        <v>313</v>
      </c>
      <c r="AO188" s="350" t="s">
        <v>313</v>
      </c>
      <c r="AP188" s="639" t="str">
        <f t="shared" si="26"/>
        <v>0.00%</v>
      </c>
    </row>
    <row r="189" spans="1:42" x14ac:dyDescent="0.2">
      <c r="A189" s="638">
        <v>42461</v>
      </c>
      <c r="B189" s="341" t="s">
        <v>137</v>
      </c>
      <c r="C189" s="351" t="s">
        <v>209</v>
      </c>
      <c r="D189" s="342">
        <v>59845.770000705503</v>
      </c>
      <c r="E189" s="342">
        <v>6496</v>
      </c>
      <c r="F189" s="342">
        <v>53349.770000705503</v>
      </c>
      <c r="G189" s="342">
        <v>39474.209953784899</v>
      </c>
      <c r="H189" s="342">
        <v>19218.479950428002</v>
      </c>
      <c r="I189" s="342">
        <v>20255.730003356901</v>
      </c>
      <c r="J189" s="342">
        <v>58.5</v>
      </c>
      <c r="K189" s="343">
        <v>39415.709953784899</v>
      </c>
      <c r="L189" s="342">
        <v>21431.630075454701</v>
      </c>
      <c r="M189" s="342">
        <v>158.289999961853</v>
      </c>
      <c r="N189" s="354">
        <v>300</v>
      </c>
      <c r="O189" s="343">
        <v>199.48590000235168</v>
      </c>
      <c r="P189" s="343">
        <v>127.51949975096315</v>
      </c>
      <c r="Q189" s="343">
        <v>131.58069984594965</v>
      </c>
      <c r="R189" s="344">
        <v>0.65959899844750181</v>
      </c>
      <c r="S189" s="344">
        <v>1.0334279742179338</v>
      </c>
      <c r="T189" s="343">
        <v>34827.01</v>
      </c>
      <c r="U189" s="342">
        <v>31556.33</v>
      </c>
      <c r="V189" s="342">
        <v>157.68</v>
      </c>
      <c r="W189" s="344">
        <f t="shared" si="27"/>
        <v>4.9967787762391887E-3</v>
      </c>
      <c r="X189" s="342">
        <v>0</v>
      </c>
      <c r="Y189" s="344">
        <f t="shared" si="28"/>
        <v>0</v>
      </c>
      <c r="Z189" s="342">
        <v>0</v>
      </c>
      <c r="AA189" s="344">
        <f t="shared" si="20"/>
        <v>0</v>
      </c>
      <c r="AB189" s="342">
        <v>0</v>
      </c>
      <c r="AC189" s="344">
        <f t="shared" si="21"/>
        <v>0</v>
      </c>
      <c r="AD189" s="342">
        <v>3270.68</v>
      </c>
      <c r="AE189" s="342">
        <v>279.89999999999998</v>
      </c>
      <c r="AF189" s="344">
        <f t="shared" si="22"/>
        <v>8.5578534127459735E-2</v>
      </c>
      <c r="AG189" s="342">
        <v>0</v>
      </c>
      <c r="AH189" s="344">
        <f t="shared" si="23"/>
        <v>0</v>
      </c>
      <c r="AI189" s="342">
        <v>0</v>
      </c>
      <c r="AJ189" s="344">
        <f t="shared" si="24"/>
        <v>0</v>
      </c>
      <c r="AK189" s="342">
        <v>0</v>
      </c>
      <c r="AL189" s="784">
        <f t="shared" si="25"/>
        <v>0</v>
      </c>
      <c r="AM189" s="350">
        <v>19.263844337486756</v>
      </c>
      <c r="AN189" s="350">
        <v>19.358054279094006</v>
      </c>
      <c r="AO189" s="350">
        <v>18.399874984373046</v>
      </c>
      <c r="AP189" s="639">
        <f t="shared" si="26"/>
        <v>1.5291778934266654E-3</v>
      </c>
    </row>
    <row r="190" spans="1:42" x14ac:dyDescent="0.2">
      <c r="A190" s="638">
        <v>42461</v>
      </c>
      <c r="B190" s="341" t="s">
        <v>137</v>
      </c>
      <c r="C190" s="351" t="s">
        <v>197</v>
      </c>
      <c r="D190" s="342">
        <v>152366.82000543599</v>
      </c>
      <c r="E190" s="342">
        <v>6840</v>
      </c>
      <c r="F190" s="342">
        <v>145526.82000543599</v>
      </c>
      <c r="G190" s="342">
        <v>104549.329922438</v>
      </c>
      <c r="H190" s="342">
        <v>56758.909912347801</v>
      </c>
      <c r="I190" s="342">
        <v>47790.420010089903</v>
      </c>
      <c r="J190" s="342">
        <v>1119.37999820709</v>
      </c>
      <c r="K190" s="343">
        <v>103429.9499242306</v>
      </c>
      <c r="L190" s="342">
        <v>60616.140203952797</v>
      </c>
      <c r="M190" s="342">
        <v>368</v>
      </c>
      <c r="N190" s="354">
        <v>726</v>
      </c>
      <c r="O190" s="343">
        <v>209.87165290004958</v>
      </c>
      <c r="P190" s="343">
        <v>125.87145978165731</v>
      </c>
      <c r="Q190" s="343">
        <v>144.00734149096101</v>
      </c>
      <c r="R190" s="344">
        <v>0.68616861544204766</v>
      </c>
      <c r="S190" s="344">
        <v>1.1582706387900421</v>
      </c>
      <c r="T190" s="343">
        <v>128456.72</v>
      </c>
      <c r="U190" s="342">
        <v>112407.27</v>
      </c>
      <c r="V190" s="342">
        <v>4791.5600000000004</v>
      </c>
      <c r="W190" s="344">
        <f t="shared" si="27"/>
        <v>4.2626780278535364E-2</v>
      </c>
      <c r="X190" s="342">
        <v>5108.96</v>
      </c>
      <c r="Y190" s="344">
        <f t="shared" si="28"/>
        <v>4.5450441061329928E-2</v>
      </c>
      <c r="Z190" s="342">
        <v>4550.18</v>
      </c>
      <c r="AA190" s="344">
        <f t="shared" si="20"/>
        <v>4.0479410273018816E-2</v>
      </c>
      <c r="AB190" s="342">
        <v>0</v>
      </c>
      <c r="AC190" s="344">
        <f t="shared" si="21"/>
        <v>0</v>
      </c>
      <c r="AD190" s="342">
        <v>16049.45</v>
      </c>
      <c r="AE190" s="342">
        <v>1942.5</v>
      </c>
      <c r="AF190" s="344">
        <f t="shared" si="22"/>
        <v>0.12103218490353251</v>
      </c>
      <c r="AG190" s="342">
        <v>2444.9</v>
      </c>
      <c r="AH190" s="344">
        <f t="shared" si="23"/>
        <v>0.15233543828604718</v>
      </c>
      <c r="AI190" s="342">
        <v>3026.87</v>
      </c>
      <c r="AJ190" s="344">
        <f t="shared" si="24"/>
        <v>0.18859649396085224</v>
      </c>
      <c r="AK190" s="342">
        <v>594.6</v>
      </c>
      <c r="AL190" s="784">
        <f t="shared" si="25"/>
        <v>3.7047998529544629E-2</v>
      </c>
      <c r="AM190" s="350">
        <v>24.901233397340615</v>
      </c>
      <c r="AN190" s="350">
        <v>22.987359814266949</v>
      </c>
      <c r="AO190" s="350">
        <v>59.732466297245885</v>
      </c>
      <c r="AP190" s="639">
        <f t="shared" si="26"/>
        <v>1.2249367173722582E-2</v>
      </c>
    </row>
    <row r="191" spans="1:42" x14ac:dyDescent="0.2">
      <c r="A191" s="638">
        <v>42461</v>
      </c>
      <c r="B191" s="341" t="s">
        <v>137</v>
      </c>
      <c r="C191" s="351" t="s">
        <v>198</v>
      </c>
      <c r="D191" s="342">
        <v>0</v>
      </c>
      <c r="E191" s="342">
        <v>0</v>
      </c>
      <c r="F191" s="342">
        <v>0</v>
      </c>
      <c r="G191" s="342">
        <v>0</v>
      </c>
      <c r="H191" s="342">
        <v>0</v>
      </c>
      <c r="I191" s="342">
        <v>0</v>
      </c>
      <c r="J191" s="342">
        <v>0</v>
      </c>
      <c r="K191" s="343">
        <v>0</v>
      </c>
      <c r="L191" s="342">
        <v>0</v>
      </c>
      <c r="M191" s="342">
        <v>0</v>
      </c>
      <c r="N191" s="354">
        <v>0</v>
      </c>
      <c r="O191" s="343" t="s">
        <v>311</v>
      </c>
      <c r="P191" s="343" t="s">
        <v>311</v>
      </c>
      <c r="Q191" s="343" t="s">
        <v>311</v>
      </c>
      <c r="R191" s="344" t="s">
        <v>312</v>
      </c>
      <c r="S191" s="344" t="s">
        <v>312</v>
      </c>
      <c r="T191" s="343">
        <v>0</v>
      </c>
      <c r="U191" s="342">
        <v>0</v>
      </c>
      <c r="V191" s="342">
        <v>0</v>
      </c>
      <c r="W191" s="344" t="str">
        <f t="shared" si="27"/>
        <v>0.00%</v>
      </c>
      <c r="X191" s="342">
        <v>0</v>
      </c>
      <c r="Y191" s="344" t="str">
        <f t="shared" si="28"/>
        <v>0.00%</v>
      </c>
      <c r="Z191" s="342">
        <v>0</v>
      </c>
      <c r="AA191" s="344">
        <f t="shared" si="20"/>
        <v>0</v>
      </c>
      <c r="AB191" s="342">
        <v>0</v>
      </c>
      <c r="AC191" s="344" t="str">
        <f t="shared" si="21"/>
        <v>0.00%</v>
      </c>
      <c r="AD191" s="342">
        <v>0</v>
      </c>
      <c r="AE191" s="342">
        <v>0</v>
      </c>
      <c r="AF191" s="344" t="str">
        <f t="shared" si="22"/>
        <v>0.00%</v>
      </c>
      <c r="AG191" s="342">
        <v>0</v>
      </c>
      <c r="AH191" s="344" t="str">
        <f t="shared" si="23"/>
        <v>0.00%</v>
      </c>
      <c r="AI191" s="342">
        <v>0</v>
      </c>
      <c r="AJ191" s="344">
        <f t="shared" si="24"/>
        <v>0</v>
      </c>
      <c r="AK191" s="342">
        <v>0</v>
      </c>
      <c r="AL191" s="784" t="str">
        <f t="shared" si="25"/>
        <v>0.00%</v>
      </c>
      <c r="AM191" s="350" t="s">
        <v>313</v>
      </c>
      <c r="AN191" s="350" t="s">
        <v>313</v>
      </c>
      <c r="AO191" s="350" t="s">
        <v>313</v>
      </c>
      <c r="AP191" s="639" t="str">
        <f t="shared" si="26"/>
        <v>0.00%</v>
      </c>
    </row>
    <row r="192" spans="1:42" x14ac:dyDescent="0.2">
      <c r="A192" s="638">
        <v>42461</v>
      </c>
      <c r="B192" s="341" t="s">
        <v>137</v>
      </c>
      <c r="C192" s="351" t="s">
        <v>199</v>
      </c>
      <c r="D192" s="342">
        <v>234140.980006503</v>
      </c>
      <c r="E192" s="342">
        <v>9456</v>
      </c>
      <c r="F192" s="342">
        <v>224684.980006503</v>
      </c>
      <c r="G192" s="342">
        <v>180585.89989931299</v>
      </c>
      <c r="H192" s="342">
        <v>100229.95987493701</v>
      </c>
      <c r="I192" s="342">
        <v>80355.940024375901</v>
      </c>
      <c r="J192" s="342">
        <v>1658.88000488281</v>
      </c>
      <c r="K192" s="343">
        <v>178927.01989443009</v>
      </c>
      <c r="L192" s="342">
        <v>97084.950233191295</v>
      </c>
      <c r="M192" s="342">
        <v>766.43000030517601</v>
      </c>
      <c r="N192" s="354">
        <v>1213</v>
      </c>
      <c r="O192" s="343">
        <v>193.02636439118137</v>
      </c>
      <c r="P192" s="343">
        <v>112.35746065375641</v>
      </c>
      <c r="Q192" s="343">
        <v>148.8754327282052</v>
      </c>
      <c r="R192" s="344">
        <v>0.77126994127340431</v>
      </c>
      <c r="S192" s="344">
        <v>1.3413424529731286</v>
      </c>
      <c r="T192" s="343">
        <v>200094.19</v>
      </c>
      <c r="U192" s="342">
        <v>151559.81</v>
      </c>
      <c r="V192" s="342">
        <v>8649.2900000000009</v>
      </c>
      <c r="W192" s="344">
        <f t="shared" si="27"/>
        <v>5.7068493289876787E-2</v>
      </c>
      <c r="X192" s="342">
        <v>2182.8200000000002</v>
      </c>
      <c r="Y192" s="344">
        <f t="shared" si="28"/>
        <v>1.4402366959948024E-2</v>
      </c>
      <c r="Z192" s="342">
        <v>1367.79</v>
      </c>
      <c r="AA192" s="344">
        <f t="shared" si="20"/>
        <v>9.0247539898605043E-3</v>
      </c>
      <c r="AB192" s="342">
        <v>10251.68</v>
      </c>
      <c r="AC192" s="344">
        <f t="shared" si="21"/>
        <v>6.7641151041295186E-2</v>
      </c>
      <c r="AD192" s="342">
        <v>48534.38</v>
      </c>
      <c r="AE192" s="342">
        <v>3185.64</v>
      </c>
      <c r="AF192" s="344">
        <f t="shared" si="22"/>
        <v>6.5636771294904764E-2</v>
      </c>
      <c r="AG192" s="342">
        <v>4385.38</v>
      </c>
      <c r="AH192" s="344">
        <f t="shared" si="23"/>
        <v>9.0356155780706382E-2</v>
      </c>
      <c r="AI192" s="342">
        <v>4911.1000000000004</v>
      </c>
      <c r="AJ192" s="344">
        <f t="shared" si="24"/>
        <v>0.10118806503760841</v>
      </c>
      <c r="AK192" s="342">
        <v>23059.73</v>
      </c>
      <c r="AL192" s="784">
        <f t="shared" si="25"/>
        <v>0.47512155301046394</v>
      </c>
      <c r="AM192" s="350">
        <v>24.091616217556112</v>
      </c>
      <c r="AN192" s="350">
        <v>18.995188182899525</v>
      </c>
      <c r="AO192" s="350">
        <v>148.55947352310989</v>
      </c>
      <c r="AP192" s="639">
        <f t="shared" si="26"/>
        <v>1.21717284931918E-2</v>
      </c>
    </row>
    <row r="193" spans="1:42" x14ac:dyDescent="0.2">
      <c r="A193" s="638">
        <v>42461</v>
      </c>
      <c r="B193" s="341" t="s">
        <v>137</v>
      </c>
      <c r="C193" s="351" t="s">
        <v>200</v>
      </c>
      <c r="D193" s="342">
        <v>0</v>
      </c>
      <c r="E193" s="342">
        <v>0</v>
      </c>
      <c r="F193" s="342">
        <v>0</v>
      </c>
      <c r="G193" s="342">
        <v>218.920001983643</v>
      </c>
      <c r="H193" s="342">
        <v>0</v>
      </c>
      <c r="I193" s="342">
        <v>218.920001983643</v>
      </c>
      <c r="J193" s="342">
        <v>0</v>
      </c>
      <c r="K193" s="343">
        <v>218.920001983643</v>
      </c>
      <c r="L193" s="342">
        <v>0</v>
      </c>
      <c r="M193" s="342">
        <v>0</v>
      </c>
      <c r="N193" s="354">
        <v>0</v>
      </c>
      <c r="O193" s="343" t="s">
        <v>311</v>
      </c>
      <c r="P193" s="343" t="s">
        <v>311</v>
      </c>
      <c r="Q193" s="343" t="s">
        <v>311</v>
      </c>
      <c r="R193" s="344" t="s">
        <v>312</v>
      </c>
      <c r="S193" s="344" t="s">
        <v>312</v>
      </c>
      <c r="T193" s="343">
        <v>776.33999999999992</v>
      </c>
      <c r="U193" s="342">
        <v>543.55999999999995</v>
      </c>
      <c r="V193" s="342">
        <v>0</v>
      </c>
      <c r="W193" s="344">
        <f t="shared" si="27"/>
        <v>0</v>
      </c>
      <c r="X193" s="342">
        <v>0</v>
      </c>
      <c r="Y193" s="344">
        <f t="shared" si="28"/>
        <v>0</v>
      </c>
      <c r="Z193" s="342">
        <v>0</v>
      </c>
      <c r="AA193" s="344">
        <f t="shared" si="20"/>
        <v>0</v>
      </c>
      <c r="AB193" s="342">
        <v>543.55999999999995</v>
      </c>
      <c r="AC193" s="344">
        <f t="shared" si="21"/>
        <v>1</v>
      </c>
      <c r="AD193" s="342">
        <v>232.78</v>
      </c>
      <c r="AE193" s="342">
        <v>0</v>
      </c>
      <c r="AF193" s="344">
        <f t="shared" si="22"/>
        <v>0</v>
      </c>
      <c r="AG193" s="342">
        <v>0</v>
      </c>
      <c r="AH193" s="344">
        <f t="shared" si="23"/>
        <v>0</v>
      </c>
      <c r="AI193" s="342">
        <v>0</v>
      </c>
      <c r="AJ193" s="344">
        <f t="shared" si="24"/>
        <v>0</v>
      </c>
      <c r="AK193" s="342">
        <v>232.78</v>
      </c>
      <c r="AL193" s="784">
        <f t="shared" si="25"/>
        <v>1</v>
      </c>
      <c r="AM193" s="350" t="s">
        <v>313</v>
      </c>
      <c r="AN193" s="350" t="s">
        <v>313</v>
      </c>
      <c r="AO193" s="350" t="s">
        <v>313</v>
      </c>
      <c r="AP193" s="639" t="str">
        <f t="shared" si="26"/>
        <v>0.00%</v>
      </c>
    </row>
    <row r="194" spans="1:42" x14ac:dyDescent="0.2">
      <c r="A194" s="638">
        <v>42461</v>
      </c>
      <c r="B194" s="341" t="s">
        <v>137</v>
      </c>
      <c r="C194" s="351" t="s">
        <v>201</v>
      </c>
      <c r="D194" s="342">
        <v>259863.48000338901</v>
      </c>
      <c r="E194" s="342">
        <v>5549</v>
      </c>
      <c r="F194" s="342">
        <v>254314.48000338901</v>
      </c>
      <c r="G194" s="342">
        <v>183426.029757785</v>
      </c>
      <c r="H194" s="342">
        <v>123536.259754924</v>
      </c>
      <c r="I194" s="342">
        <v>59889.770002860598</v>
      </c>
      <c r="J194" s="342">
        <v>1482.6800031662001</v>
      </c>
      <c r="K194" s="343">
        <v>181943.34975461839</v>
      </c>
      <c r="L194" s="342">
        <v>109389.50028659801</v>
      </c>
      <c r="M194" s="342">
        <v>862.5</v>
      </c>
      <c r="N194" s="354">
        <v>1202</v>
      </c>
      <c r="O194" s="343">
        <v>216.19257903776125</v>
      </c>
      <c r="P194" s="343">
        <v>124.46878512212231</v>
      </c>
      <c r="Q194" s="343">
        <v>152.60069031429666</v>
      </c>
      <c r="R194" s="344">
        <v>0.70585535818804723</v>
      </c>
      <c r="S194" s="344">
        <v>1.2382874235962176</v>
      </c>
      <c r="T194" s="343">
        <v>314600.55</v>
      </c>
      <c r="U194" s="342">
        <v>240249.87</v>
      </c>
      <c r="V194" s="342">
        <v>9092.49</v>
      </c>
      <c r="W194" s="344">
        <f t="shared" si="27"/>
        <v>3.7845972611764575E-2</v>
      </c>
      <c r="X194" s="342">
        <v>4860.8100000000004</v>
      </c>
      <c r="Y194" s="344">
        <f t="shared" si="28"/>
        <v>2.0232310635589525E-2</v>
      </c>
      <c r="Z194" s="342">
        <v>6342.71</v>
      </c>
      <c r="AA194" s="344">
        <f t="shared" ref="AA194:AA257" si="29">IFERROR(Z194/U194,"0.00"%)</f>
        <v>2.6400472141774729E-2</v>
      </c>
      <c r="AB194" s="342">
        <v>19503.88</v>
      </c>
      <c r="AC194" s="344">
        <f t="shared" ref="AC194:AC257" si="30">IFERROR(AB194/U194,"0.00%")</f>
        <v>8.1181646425032408E-2</v>
      </c>
      <c r="AD194" s="342">
        <v>74350.679999999993</v>
      </c>
      <c r="AE194" s="342">
        <v>7522.5</v>
      </c>
      <c r="AF194" s="344">
        <f t="shared" ref="AF194:AF257" si="31">IFERROR(AE194/AD194,"0.00%")</f>
        <v>0.10117594082528904</v>
      </c>
      <c r="AG194" s="342">
        <v>5298.44</v>
      </c>
      <c r="AH194" s="344">
        <f t="shared" ref="AH194:AH257" si="32">IFERROR(AG194/AD194,"0.00%")</f>
        <v>7.1262831758902537E-2</v>
      </c>
      <c r="AI194" s="342">
        <v>4790.9799999999996</v>
      </c>
      <c r="AJ194" s="344">
        <f t="shared" ref="AJ194:AJ257" si="33">IFERROR(AI194/AD194,"0.00"%)</f>
        <v>6.4437608371571045E-2</v>
      </c>
      <c r="AK194" s="342">
        <v>38661.26</v>
      </c>
      <c r="AL194" s="784">
        <f t="shared" ref="AL194:AL257" si="34">IFERROR(AK194/AD194,"0.00%")</f>
        <v>0.51998529132484073</v>
      </c>
      <c r="AM194" s="350">
        <v>34.718750349421981</v>
      </c>
      <c r="AN194" s="350">
        <v>27.355377458709484</v>
      </c>
      <c r="AO194" s="350">
        <v>266.62793162529385</v>
      </c>
      <c r="AP194" s="639">
        <f t="shared" ref="AP194:AP257" si="35">IFERROR(J194/(D194-L194-M194),"0.00%")</f>
        <v>9.9102021179982864E-3</v>
      </c>
    </row>
    <row r="195" spans="1:42" x14ac:dyDescent="0.2">
      <c r="A195" s="638">
        <v>42461</v>
      </c>
      <c r="B195" s="341" t="s">
        <v>137</v>
      </c>
      <c r="C195" s="351" t="s">
        <v>202</v>
      </c>
      <c r="D195" s="342">
        <v>0</v>
      </c>
      <c r="E195" s="342">
        <v>0</v>
      </c>
      <c r="F195" s="342">
        <v>0</v>
      </c>
      <c r="G195" s="342">
        <v>0</v>
      </c>
      <c r="H195" s="342">
        <v>0</v>
      </c>
      <c r="I195" s="342">
        <v>0</v>
      </c>
      <c r="J195" s="342">
        <v>0</v>
      </c>
      <c r="K195" s="343">
        <v>0</v>
      </c>
      <c r="L195" s="342">
        <v>0</v>
      </c>
      <c r="M195" s="342">
        <v>0</v>
      </c>
      <c r="N195" s="354">
        <v>0</v>
      </c>
      <c r="O195" s="343" t="s">
        <v>311</v>
      </c>
      <c r="P195" s="343" t="s">
        <v>311</v>
      </c>
      <c r="Q195" s="343" t="s">
        <v>311</v>
      </c>
      <c r="R195" s="344" t="s">
        <v>312</v>
      </c>
      <c r="S195" s="344" t="s">
        <v>312</v>
      </c>
      <c r="T195" s="343">
        <v>0</v>
      </c>
      <c r="U195" s="342">
        <v>0</v>
      </c>
      <c r="V195" s="342">
        <v>0</v>
      </c>
      <c r="W195" s="344" t="str">
        <f t="shared" ref="W195:W258" si="36">IFERROR(V195/U195,"0.00%")</f>
        <v>0.00%</v>
      </c>
      <c r="X195" s="342">
        <v>0</v>
      </c>
      <c r="Y195" s="344" t="str">
        <f t="shared" ref="Y195:Y258" si="37">IFERROR(X195/U195,"0.00%")</f>
        <v>0.00%</v>
      </c>
      <c r="Z195" s="342">
        <v>0</v>
      </c>
      <c r="AA195" s="344">
        <f t="shared" si="29"/>
        <v>0</v>
      </c>
      <c r="AB195" s="342">
        <v>0</v>
      </c>
      <c r="AC195" s="344" t="str">
        <f t="shared" si="30"/>
        <v>0.00%</v>
      </c>
      <c r="AD195" s="342">
        <v>0</v>
      </c>
      <c r="AE195" s="342">
        <v>0</v>
      </c>
      <c r="AF195" s="344" t="str">
        <f t="shared" si="31"/>
        <v>0.00%</v>
      </c>
      <c r="AG195" s="342">
        <v>0</v>
      </c>
      <c r="AH195" s="344" t="str">
        <f t="shared" si="32"/>
        <v>0.00%</v>
      </c>
      <c r="AI195" s="342">
        <v>0</v>
      </c>
      <c r="AJ195" s="344">
        <f t="shared" si="33"/>
        <v>0</v>
      </c>
      <c r="AK195" s="342">
        <v>0</v>
      </c>
      <c r="AL195" s="784" t="str">
        <f t="shared" si="34"/>
        <v>0.00%</v>
      </c>
      <c r="AM195" s="350" t="s">
        <v>313</v>
      </c>
      <c r="AN195" s="350" t="s">
        <v>313</v>
      </c>
      <c r="AO195" s="350" t="s">
        <v>313</v>
      </c>
      <c r="AP195" s="639" t="str">
        <f t="shared" si="35"/>
        <v>0.00%</v>
      </c>
    </row>
    <row r="196" spans="1:42" x14ac:dyDescent="0.2">
      <c r="A196" s="638">
        <v>42461</v>
      </c>
      <c r="B196" s="341" t="s">
        <v>137</v>
      </c>
      <c r="C196" s="351" t="s">
        <v>203</v>
      </c>
      <c r="D196" s="342">
        <v>170219.51000717099</v>
      </c>
      <c r="E196" s="342">
        <v>8717</v>
      </c>
      <c r="F196" s="342">
        <v>161502.51000717099</v>
      </c>
      <c r="G196" s="342">
        <v>135035.189956797</v>
      </c>
      <c r="H196" s="342">
        <v>74961.739975107805</v>
      </c>
      <c r="I196" s="342">
        <v>60073.449981689497</v>
      </c>
      <c r="J196" s="342">
        <v>406.62000226974499</v>
      </c>
      <c r="K196" s="343">
        <v>134628.56995452754</v>
      </c>
      <c r="L196" s="342">
        <v>66409.020061092495</v>
      </c>
      <c r="M196" s="342">
        <v>655.040000915527</v>
      </c>
      <c r="N196" s="354">
        <v>908</v>
      </c>
      <c r="O196" s="343">
        <v>187.46642071274337</v>
      </c>
      <c r="P196" s="343">
        <v>113.60732372815305</v>
      </c>
      <c r="Q196" s="343">
        <v>148.71716955594414</v>
      </c>
      <c r="R196" s="344">
        <v>0.79330030941287832</v>
      </c>
      <c r="S196" s="344">
        <v>1.3142260601103537</v>
      </c>
      <c r="T196" s="343">
        <v>156220.82</v>
      </c>
      <c r="U196" s="342">
        <v>122501.9</v>
      </c>
      <c r="V196" s="342">
        <v>5258.86</v>
      </c>
      <c r="W196" s="344">
        <f t="shared" si="36"/>
        <v>4.2928803553251009E-2</v>
      </c>
      <c r="X196" s="342">
        <v>2764.07</v>
      </c>
      <c r="Y196" s="344">
        <f t="shared" si="37"/>
        <v>2.2563486770409279E-2</v>
      </c>
      <c r="Z196" s="342">
        <v>3355.36</v>
      </c>
      <c r="AA196" s="344">
        <f t="shared" si="29"/>
        <v>2.7390269048888225E-2</v>
      </c>
      <c r="AB196" s="342">
        <v>8849.2900000000009</v>
      </c>
      <c r="AC196" s="344">
        <f t="shared" si="30"/>
        <v>7.2237981614979047E-2</v>
      </c>
      <c r="AD196" s="342">
        <v>33718.92</v>
      </c>
      <c r="AE196" s="342">
        <v>3363.23</v>
      </c>
      <c r="AF196" s="344">
        <f t="shared" si="31"/>
        <v>9.9743111582458757E-2</v>
      </c>
      <c r="AG196" s="342">
        <v>3497.59</v>
      </c>
      <c r="AH196" s="344">
        <f t="shared" si="32"/>
        <v>0.10372781809144541</v>
      </c>
      <c r="AI196" s="342">
        <v>2863.87</v>
      </c>
      <c r="AJ196" s="344">
        <f t="shared" si="33"/>
        <v>8.4933621836049314E-2</v>
      </c>
      <c r="AK196" s="342">
        <v>17870.61</v>
      </c>
      <c r="AL196" s="784">
        <f t="shared" si="34"/>
        <v>0.5299876152616988</v>
      </c>
      <c r="AM196" s="350">
        <v>26.344671555393901</v>
      </c>
      <c r="AN196" s="350">
        <v>21.734047707300235</v>
      </c>
      <c r="AO196" s="350">
        <v>114.89428690417597</v>
      </c>
      <c r="AP196" s="639">
        <f t="shared" si="35"/>
        <v>3.941817930956654E-3</v>
      </c>
    </row>
    <row r="197" spans="1:42" x14ac:dyDescent="0.2">
      <c r="A197" s="638">
        <v>42461</v>
      </c>
      <c r="B197" s="341" t="s">
        <v>137</v>
      </c>
      <c r="C197" s="351" t="s">
        <v>204</v>
      </c>
      <c r="D197" s="342">
        <v>54688.670003414198</v>
      </c>
      <c r="E197" s="342">
        <v>3709</v>
      </c>
      <c r="F197" s="342">
        <v>50979.670003414198</v>
      </c>
      <c r="G197" s="342">
        <v>37482.129926681497</v>
      </c>
      <c r="H197" s="342">
        <v>20803.729938507098</v>
      </c>
      <c r="I197" s="342">
        <v>16678.399988174398</v>
      </c>
      <c r="J197" s="342">
        <v>221.72000122070301</v>
      </c>
      <c r="K197" s="343">
        <v>37260.409925460794</v>
      </c>
      <c r="L197" s="342">
        <v>20965.990108490001</v>
      </c>
      <c r="M197" s="342">
        <v>198.43000030517601</v>
      </c>
      <c r="N197" s="354">
        <v>300</v>
      </c>
      <c r="O197" s="343">
        <v>182.29556667804732</v>
      </c>
      <c r="P197" s="343">
        <v>111.74749964873006</v>
      </c>
      <c r="Q197" s="343">
        <v>124.94043308893832</v>
      </c>
      <c r="R197" s="344">
        <v>0.68537285555383776</v>
      </c>
      <c r="S197" s="344">
        <v>1.1255039796274373</v>
      </c>
      <c r="T197" s="343">
        <v>41012.54</v>
      </c>
      <c r="U197" s="342">
        <v>34039.97</v>
      </c>
      <c r="V197" s="342">
        <v>1208.24</v>
      </c>
      <c r="W197" s="344">
        <f t="shared" si="36"/>
        <v>3.5494743385496519E-2</v>
      </c>
      <c r="X197" s="342">
        <v>90</v>
      </c>
      <c r="Y197" s="344">
        <f t="shared" si="37"/>
        <v>2.64395062627846E-3</v>
      </c>
      <c r="Z197" s="342">
        <v>0</v>
      </c>
      <c r="AA197" s="344">
        <f t="shared" si="29"/>
        <v>0</v>
      </c>
      <c r="AB197" s="342">
        <v>0</v>
      </c>
      <c r="AC197" s="344">
        <f t="shared" si="30"/>
        <v>0</v>
      </c>
      <c r="AD197" s="342">
        <v>6972.57</v>
      </c>
      <c r="AE197" s="342">
        <v>1763.6</v>
      </c>
      <c r="AF197" s="344">
        <f t="shared" si="31"/>
        <v>0.25293399707711789</v>
      </c>
      <c r="AG197" s="342">
        <v>817.9</v>
      </c>
      <c r="AH197" s="344">
        <f t="shared" si="32"/>
        <v>0.11730251542831409</v>
      </c>
      <c r="AI197" s="342">
        <v>0</v>
      </c>
      <c r="AJ197" s="344">
        <f t="shared" si="33"/>
        <v>0</v>
      </c>
      <c r="AK197" s="342">
        <v>0</v>
      </c>
      <c r="AL197" s="784">
        <f t="shared" si="34"/>
        <v>0</v>
      </c>
      <c r="AM197" s="350">
        <v>24.032847349291334</v>
      </c>
      <c r="AN197" s="350">
        <v>21.530987683493162</v>
      </c>
      <c r="AO197" s="350">
        <v>55.538658288344095</v>
      </c>
      <c r="AP197" s="639">
        <f t="shared" si="35"/>
        <v>6.6137199763652678E-3</v>
      </c>
    </row>
    <row r="198" spans="1:42" x14ac:dyDescent="0.2">
      <c r="A198" s="638">
        <v>42461</v>
      </c>
      <c r="B198" s="341" t="s">
        <v>137</v>
      </c>
      <c r="C198" s="351" t="s">
        <v>205</v>
      </c>
      <c r="D198" s="342">
        <v>0</v>
      </c>
      <c r="E198" s="342">
        <v>0</v>
      </c>
      <c r="F198" s="342">
        <v>0</v>
      </c>
      <c r="G198" s="342">
        <v>276.68999886512802</v>
      </c>
      <c r="H198" s="342">
        <v>109.779998779297</v>
      </c>
      <c r="I198" s="342">
        <v>166.910000085831</v>
      </c>
      <c r="J198" s="342">
        <v>0</v>
      </c>
      <c r="K198" s="343">
        <v>276.68999886512802</v>
      </c>
      <c r="L198" s="342">
        <v>140.22000122070301</v>
      </c>
      <c r="M198" s="342">
        <v>0</v>
      </c>
      <c r="N198" s="354">
        <v>0</v>
      </c>
      <c r="O198" s="343" t="s">
        <v>311</v>
      </c>
      <c r="P198" s="343" t="s">
        <v>311</v>
      </c>
      <c r="Q198" s="343" t="s">
        <v>311</v>
      </c>
      <c r="R198" s="344" t="s">
        <v>312</v>
      </c>
      <c r="S198" s="344">
        <v>-1.9732562862385403</v>
      </c>
      <c r="T198" s="343">
        <v>1973.94</v>
      </c>
      <c r="U198" s="342">
        <v>787</v>
      </c>
      <c r="V198" s="342">
        <v>0</v>
      </c>
      <c r="W198" s="344">
        <f t="shared" si="36"/>
        <v>0</v>
      </c>
      <c r="X198" s="342">
        <v>0</v>
      </c>
      <c r="Y198" s="344">
        <f t="shared" si="37"/>
        <v>0</v>
      </c>
      <c r="Z198" s="342">
        <v>0</v>
      </c>
      <c r="AA198" s="344">
        <f t="shared" si="29"/>
        <v>0</v>
      </c>
      <c r="AB198" s="342">
        <v>787</v>
      </c>
      <c r="AC198" s="344">
        <f t="shared" si="30"/>
        <v>1</v>
      </c>
      <c r="AD198" s="342">
        <v>1186.94</v>
      </c>
      <c r="AE198" s="342">
        <v>0</v>
      </c>
      <c r="AF198" s="344">
        <f t="shared" si="31"/>
        <v>0</v>
      </c>
      <c r="AG198" s="342">
        <v>0</v>
      </c>
      <c r="AH198" s="344">
        <f t="shared" si="32"/>
        <v>0</v>
      </c>
      <c r="AI198" s="342">
        <v>0</v>
      </c>
      <c r="AJ198" s="344">
        <f t="shared" si="33"/>
        <v>0</v>
      </c>
      <c r="AK198" s="342">
        <v>1186.94</v>
      </c>
      <c r="AL198" s="784">
        <f t="shared" si="34"/>
        <v>1</v>
      </c>
      <c r="AM198" s="350" t="s">
        <v>313</v>
      </c>
      <c r="AN198" s="350" t="s">
        <v>313</v>
      </c>
      <c r="AO198" s="350" t="s">
        <v>313</v>
      </c>
      <c r="AP198" s="639">
        <f t="shared" si="35"/>
        <v>0</v>
      </c>
    </row>
    <row r="199" spans="1:42" x14ac:dyDescent="0.2">
      <c r="A199" s="638">
        <v>42461</v>
      </c>
      <c r="B199" s="341" t="s">
        <v>137</v>
      </c>
      <c r="C199" s="351" t="s">
        <v>206</v>
      </c>
      <c r="D199" s="342">
        <v>201762.90000781801</v>
      </c>
      <c r="E199" s="342">
        <v>8976</v>
      </c>
      <c r="F199" s="342">
        <v>192786.90000781801</v>
      </c>
      <c r="G199" s="342">
        <v>147790.09985512501</v>
      </c>
      <c r="H199" s="342">
        <v>81210.919904768496</v>
      </c>
      <c r="I199" s="342">
        <v>66579.179950356498</v>
      </c>
      <c r="J199" s="342">
        <v>1814.9200000762901</v>
      </c>
      <c r="K199" s="343">
        <v>145975.17985504871</v>
      </c>
      <c r="L199" s="342">
        <v>79643.360055357203</v>
      </c>
      <c r="M199" s="342">
        <v>782</v>
      </c>
      <c r="N199" s="354">
        <v>1023</v>
      </c>
      <c r="O199" s="343">
        <v>197.22668622465105</v>
      </c>
      <c r="P199" s="343">
        <v>118.60952097014741</v>
      </c>
      <c r="Q199" s="343">
        <v>144.46735078702346</v>
      </c>
      <c r="R199" s="344">
        <v>0.73249393148789177</v>
      </c>
      <c r="S199" s="344">
        <v>1.2365031816906433</v>
      </c>
      <c r="T199" s="343">
        <v>237294.34</v>
      </c>
      <c r="U199" s="342">
        <v>173618.68</v>
      </c>
      <c r="V199" s="342">
        <v>11963.71</v>
      </c>
      <c r="W199" s="344">
        <f t="shared" si="36"/>
        <v>6.8907965433212592E-2</v>
      </c>
      <c r="X199" s="342">
        <v>4680.5200000000004</v>
      </c>
      <c r="Y199" s="344">
        <f t="shared" si="37"/>
        <v>2.6958619890440363E-2</v>
      </c>
      <c r="Z199" s="342">
        <v>2733.16</v>
      </c>
      <c r="AA199" s="344">
        <f t="shared" si="29"/>
        <v>1.5742315285428965E-2</v>
      </c>
      <c r="AB199" s="342">
        <v>20266.009999999998</v>
      </c>
      <c r="AC199" s="344">
        <f t="shared" si="30"/>
        <v>0.11672712867071676</v>
      </c>
      <c r="AD199" s="342">
        <v>63675.66</v>
      </c>
      <c r="AE199" s="342">
        <v>3504.31</v>
      </c>
      <c r="AF199" s="344">
        <f t="shared" si="31"/>
        <v>5.5033744448035556E-2</v>
      </c>
      <c r="AG199" s="342">
        <v>5274.36</v>
      </c>
      <c r="AH199" s="344">
        <f t="shared" si="32"/>
        <v>8.2831650272647342E-2</v>
      </c>
      <c r="AI199" s="342">
        <v>4856.26</v>
      </c>
      <c r="AJ199" s="344">
        <f t="shared" si="33"/>
        <v>7.626556206877165E-2</v>
      </c>
      <c r="AK199" s="342">
        <v>38728.85</v>
      </c>
      <c r="AL199" s="784">
        <f t="shared" si="34"/>
        <v>0.60822062935821941</v>
      </c>
      <c r="AM199" s="350">
        <v>33.739846167864357</v>
      </c>
      <c r="AN199" s="350">
        <v>25.906776741156296</v>
      </c>
      <c r="AO199" s="350">
        <v>192.14784241408216</v>
      </c>
      <c r="AP199" s="639">
        <f t="shared" si="35"/>
        <v>1.4957613289237304E-2</v>
      </c>
    </row>
    <row r="200" spans="1:42" x14ac:dyDescent="0.2">
      <c r="A200" s="638">
        <v>42461</v>
      </c>
      <c r="B200" s="341" t="s">
        <v>137</v>
      </c>
      <c r="C200" s="351" t="s">
        <v>207</v>
      </c>
      <c r="D200" s="342">
        <v>0</v>
      </c>
      <c r="E200" s="342">
        <v>0</v>
      </c>
      <c r="F200" s="342">
        <v>0</v>
      </c>
      <c r="G200" s="342">
        <v>0</v>
      </c>
      <c r="H200" s="342">
        <v>0</v>
      </c>
      <c r="I200" s="342">
        <v>0</v>
      </c>
      <c r="J200" s="342">
        <v>0</v>
      </c>
      <c r="K200" s="343">
        <v>0</v>
      </c>
      <c r="L200" s="342">
        <v>0</v>
      </c>
      <c r="M200" s="342">
        <v>0</v>
      </c>
      <c r="N200" s="354">
        <v>0</v>
      </c>
      <c r="O200" s="343" t="s">
        <v>311</v>
      </c>
      <c r="P200" s="343" t="s">
        <v>311</v>
      </c>
      <c r="Q200" s="343" t="s">
        <v>311</v>
      </c>
      <c r="R200" s="344" t="s">
        <v>312</v>
      </c>
      <c r="S200" s="344" t="s">
        <v>312</v>
      </c>
      <c r="T200" s="343">
        <v>0</v>
      </c>
      <c r="U200" s="342">
        <v>0</v>
      </c>
      <c r="V200" s="342">
        <v>0</v>
      </c>
      <c r="W200" s="344" t="str">
        <f t="shared" si="36"/>
        <v>0.00%</v>
      </c>
      <c r="X200" s="342">
        <v>0</v>
      </c>
      <c r="Y200" s="344" t="str">
        <f t="shared" si="37"/>
        <v>0.00%</v>
      </c>
      <c r="Z200" s="342">
        <v>0</v>
      </c>
      <c r="AA200" s="344">
        <f t="shared" si="29"/>
        <v>0</v>
      </c>
      <c r="AB200" s="342">
        <v>0</v>
      </c>
      <c r="AC200" s="344" t="str">
        <f t="shared" si="30"/>
        <v>0.00%</v>
      </c>
      <c r="AD200" s="342">
        <v>0</v>
      </c>
      <c r="AE200" s="342">
        <v>0</v>
      </c>
      <c r="AF200" s="344" t="str">
        <f t="shared" si="31"/>
        <v>0.00%</v>
      </c>
      <c r="AG200" s="342">
        <v>0</v>
      </c>
      <c r="AH200" s="344" t="str">
        <f t="shared" si="32"/>
        <v>0.00%</v>
      </c>
      <c r="AI200" s="342">
        <v>0</v>
      </c>
      <c r="AJ200" s="344">
        <f t="shared" si="33"/>
        <v>0</v>
      </c>
      <c r="AK200" s="342">
        <v>0</v>
      </c>
      <c r="AL200" s="784" t="str">
        <f t="shared" si="34"/>
        <v>0.00%</v>
      </c>
      <c r="AM200" s="350" t="s">
        <v>313</v>
      </c>
      <c r="AN200" s="350" t="s">
        <v>313</v>
      </c>
      <c r="AO200" s="350" t="s">
        <v>313</v>
      </c>
      <c r="AP200" s="639" t="str">
        <f t="shared" si="35"/>
        <v>0.00%</v>
      </c>
    </row>
    <row r="201" spans="1:42" x14ac:dyDescent="0.2">
      <c r="A201" s="638">
        <v>42461</v>
      </c>
      <c r="B201" s="341" t="s">
        <v>137</v>
      </c>
      <c r="C201" s="351" t="s">
        <v>208</v>
      </c>
      <c r="D201" s="342">
        <v>139770.72000484401</v>
      </c>
      <c r="E201" s="342">
        <v>5021</v>
      </c>
      <c r="F201" s="342">
        <v>134749.72000484401</v>
      </c>
      <c r="G201" s="342">
        <v>101814.809968248</v>
      </c>
      <c r="H201" s="342">
        <v>57335.219933882399</v>
      </c>
      <c r="I201" s="342">
        <v>44479.590034365698</v>
      </c>
      <c r="J201" s="342">
        <v>971</v>
      </c>
      <c r="K201" s="343">
        <v>100843.8099682481</v>
      </c>
      <c r="L201" s="342">
        <v>59419.920034751303</v>
      </c>
      <c r="M201" s="342">
        <v>812.790000915527</v>
      </c>
      <c r="N201" s="354">
        <v>731</v>
      </c>
      <c r="O201" s="343">
        <v>191.20481532810399</v>
      </c>
      <c r="P201" s="343">
        <v>108.80712718081695</v>
      </c>
      <c r="Q201" s="343">
        <v>139.28154578419714</v>
      </c>
      <c r="R201" s="344">
        <v>0.72844162185556116</v>
      </c>
      <c r="S201" s="344">
        <v>1.2958977312257562</v>
      </c>
      <c r="T201" s="343">
        <v>182504.84999999998</v>
      </c>
      <c r="U201" s="342">
        <v>133188.99</v>
      </c>
      <c r="V201" s="342">
        <v>8179.35</v>
      </c>
      <c r="W201" s="344">
        <f t="shared" si="36"/>
        <v>6.141160767117463E-2</v>
      </c>
      <c r="X201" s="342">
        <v>3601.51</v>
      </c>
      <c r="Y201" s="344">
        <f t="shared" si="37"/>
        <v>2.7040598475895045E-2</v>
      </c>
      <c r="Z201" s="342">
        <v>1722.78</v>
      </c>
      <c r="AA201" s="344">
        <f t="shared" si="29"/>
        <v>1.2934852948430648E-2</v>
      </c>
      <c r="AB201" s="342">
        <v>14876.53</v>
      </c>
      <c r="AC201" s="344">
        <f t="shared" si="30"/>
        <v>0.11169489309889655</v>
      </c>
      <c r="AD201" s="342">
        <v>49315.86</v>
      </c>
      <c r="AE201" s="342">
        <v>3661.95</v>
      </c>
      <c r="AF201" s="344">
        <f t="shared" si="31"/>
        <v>7.4255016540317853E-2</v>
      </c>
      <c r="AG201" s="342">
        <v>4168.83</v>
      </c>
      <c r="AH201" s="344">
        <f t="shared" si="32"/>
        <v>8.4533251574645557E-2</v>
      </c>
      <c r="AI201" s="342">
        <v>5147.87</v>
      </c>
      <c r="AJ201" s="344">
        <f t="shared" si="33"/>
        <v>0.10438568849858848</v>
      </c>
      <c r="AK201" s="342">
        <v>26931.439999999999</v>
      </c>
      <c r="AL201" s="784">
        <f t="shared" si="34"/>
        <v>0.54610099063465589</v>
      </c>
      <c r="AM201" s="350">
        <v>36.781443216590397</v>
      </c>
      <c r="AN201" s="350">
        <v>28.167971735852994</v>
      </c>
      <c r="AO201" s="350">
        <v>211.21287712953267</v>
      </c>
      <c r="AP201" s="639">
        <f t="shared" si="35"/>
        <v>1.2207999676837337E-2</v>
      </c>
    </row>
    <row r="202" spans="1:42" x14ac:dyDescent="0.2">
      <c r="A202" s="638">
        <v>42491</v>
      </c>
      <c r="B202" s="341" t="s">
        <v>133</v>
      </c>
      <c r="C202" s="351" t="s">
        <v>161</v>
      </c>
      <c r="D202" s="342">
        <v>0</v>
      </c>
      <c r="E202" s="342">
        <v>0</v>
      </c>
      <c r="F202" s="342">
        <v>0</v>
      </c>
      <c r="G202" s="342">
        <v>40</v>
      </c>
      <c r="H202" s="342">
        <v>0</v>
      </c>
      <c r="I202" s="342">
        <v>40</v>
      </c>
      <c r="J202" s="342">
        <v>0</v>
      </c>
      <c r="K202" s="343">
        <v>40</v>
      </c>
      <c r="L202" s="342">
        <v>0</v>
      </c>
      <c r="M202" s="342">
        <v>5169.5200002193496</v>
      </c>
      <c r="N202" s="354">
        <v>0</v>
      </c>
      <c r="O202" s="343" t="s">
        <v>311</v>
      </c>
      <c r="P202" s="343" t="s">
        <v>311</v>
      </c>
      <c r="Q202" s="343" t="s">
        <v>311</v>
      </c>
      <c r="R202" s="344" t="s">
        <v>312</v>
      </c>
      <c r="S202" s="344">
        <v>-7.7376622971383697E-3</v>
      </c>
      <c r="T202" s="343">
        <v>1102.05</v>
      </c>
      <c r="U202" s="342">
        <v>-333.49</v>
      </c>
      <c r="V202" s="342">
        <v>-333.49</v>
      </c>
      <c r="W202" s="344">
        <v>0</v>
      </c>
      <c r="X202" s="342">
        <v>0</v>
      </c>
      <c r="Y202" s="344">
        <f t="shared" si="37"/>
        <v>0</v>
      </c>
      <c r="Z202" s="342">
        <v>0</v>
      </c>
      <c r="AA202" s="344">
        <f t="shared" si="29"/>
        <v>0</v>
      </c>
      <c r="AB202" s="342">
        <v>-333.49</v>
      </c>
      <c r="AC202" s="344">
        <v>0</v>
      </c>
      <c r="AD202" s="342">
        <v>1435.54</v>
      </c>
      <c r="AE202" s="342">
        <v>0</v>
      </c>
      <c r="AF202" s="344">
        <f t="shared" si="31"/>
        <v>0</v>
      </c>
      <c r="AG202" s="342">
        <v>0</v>
      </c>
      <c r="AH202" s="344">
        <f t="shared" si="32"/>
        <v>0</v>
      </c>
      <c r="AI202" s="342">
        <v>0</v>
      </c>
      <c r="AJ202" s="344">
        <f t="shared" si="33"/>
        <v>0</v>
      </c>
      <c r="AK202" s="342">
        <v>1435.54</v>
      </c>
      <c r="AL202" s="784">
        <f t="shared" si="34"/>
        <v>1</v>
      </c>
      <c r="AM202" s="350" t="s">
        <v>313</v>
      </c>
      <c r="AN202" s="350" t="s">
        <v>313</v>
      </c>
      <c r="AO202" s="350" t="s">
        <v>313</v>
      </c>
      <c r="AP202" s="639">
        <f t="shared" si="35"/>
        <v>0</v>
      </c>
    </row>
    <row r="203" spans="1:42" x14ac:dyDescent="0.2">
      <c r="A203" s="638">
        <v>42491</v>
      </c>
      <c r="B203" s="341" t="s">
        <v>133</v>
      </c>
      <c r="C203" s="351" t="s">
        <v>162</v>
      </c>
      <c r="D203" s="342">
        <v>189706.36000350901</v>
      </c>
      <c r="E203" s="342">
        <v>9769</v>
      </c>
      <c r="F203" s="342">
        <v>179937.36000350901</v>
      </c>
      <c r="G203" s="342">
        <v>121936.039993057</v>
      </c>
      <c r="H203" s="342">
        <v>57749.599951515003</v>
      </c>
      <c r="I203" s="342">
        <v>64186.440041542097</v>
      </c>
      <c r="J203" s="342">
        <v>2601.44999837875</v>
      </c>
      <c r="K203" s="343">
        <v>119334.58999467835</v>
      </c>
      <c r="L203" s="342">
        <v>53724.990067968101</v>
      </c>
      <c r="M203" s="342">
        <v>120003.790011114</v>
      </c>
      <c r="N203" s="354">
        <v>1071</v>
      </c>
      <c r="O203" s="343">
        <v>177.13012138516248</v>
      </c>
      <c r="P203" s="343">
        <v>14.918375279576924</v>
      </c>
      <c r="Q203" s="343">
        <v>113.85251166485257</v>
      </c>
      <c r="R203" s="344">
        <v>0.64276200329183297</v>
      </c>
      <c r="S203" s="344">
        <v>9.1159431515093008</v>
      </c>
      <c r="T203" s="343">
        <v>184071.72</v>
      </c>
      <c r="U203" s="342">
        <v>139507.95000000001</v>
      </c>
      <c r="V203" s="342">
        <v>28672.799999999999</v>
      </c>
      <c r="W203" s="344">
        <f t="shared" si="36"/>
        <v>0.2055280720561086</v>
      </c>
      <c r="X203" s="342">
        <v>1603.17</v>
      </c>
      <c r="Y203" s="344">
        <f t="shared" si="37"/>
        <v>1.1491603166701251E-2</v>
      </c>
      <c r="Z203" s="342">
        <v>2335.23</v>
      </c>
      <c r="AA203" s="344">
        <f t="shared" si="29"/>
        <v>1.6739046054364642E-2</v>
      </c>
      <c r="AB203" s="342">
        <v>18983.64</v>
      </c>
      <c r="AC203" s="344">
        <f t="shared" si="30"/>
        <v>0.13607568600929193</v>
      </c>
      <c r="AD203" s="342">
        <v>44563.77</v>
      </c>
      <c r="AE203" s="342">
        <v>4116.1499999999996</v>
      </c>
      <c r="AF203" s="344">
        <f t="shared" si="31"/>
        <v>9.2365390091547456E-2</v>
      </c>
      <c r="AG203" s="342">
        <v>4960.1400000000003</v>
      </c>
      <c r="AH203" s="344">
        <f t="shared" si="32"/>
        <v>0.11130431738607395</v>
      </c>
      <c r="AI203" s="342">
        <v>3557.28</v>
      </c>
      <c r="AJ203" s="344">
        <f t="shared" si="33"/>
        <v>7.9824485226451899E-2</v>
      </c>
      <c r="AK203" s="342">
        <v>23513.99</v>
      </c>
      <c r="AL203" s="784">
        <f t="shared" si="34"/>
        <v>0.52764813210372474</v>
      </c>
      <c r="AM203" s="350">
        <v>30.69290186163564</v>
      </c>
      <c r="AN203" s="350">
        <v>24.446594613777926</v>
      </c>
      <c r="AO203" s="350">
        <v>153.36848686474701</v>
      </c>
      <c r="AP203" s="639">
        <f t="shared" si="35"/>
        <v>0.16281877547685394</v>
      </c>
    </row>
    <row r="204" spans="1:42" x14ac:dyDescent="0.2">
      <c r="A204" s="638">
        <v>42491</v>
      </c>
      <c r="B204" s="341" t="s">
        <v>133</v>
      </c>
      <c r="C204" s="351" t="s">
        <v>163</v>
      </c>
      <c r="D204" s="342">
        <v>0</v>
      </c>
      <c r="E204" s="342">
        <v>0</v>
      </c>
      <c r="F204" s="342">
        <v>0</v>
      </c>
      <c r="G204" s="342">
        <v>0</v>
      </c>
      <c r="H204" s="342">
        <v>0</v>
      </c>
      <c r="I204" s="342">
        <v>0</v>
      </c>
      <c r="J204" s="342">
        <v>0</v>
      </c>
      <c r="K204" s="343">
        <v>0</v>
      </c>
      <c r="L204" s="342">
        <v>0</v>
      </c>
      <c r="M204" s="342">
        <v>6524.7699970081403</v>
      </c>
      <c r="N204" s="354">
        <v>0</v>
      </c>
      <c r="O204" s="343" t="s">
        <v>311</v>
      </c>
      <c r="P204" s="343" t="s">
        <v>311</v>
      </c>
      <c r="Q204" s="343" t="s">
        <v>311</v>
      </c>
      <c r="R204" s="344" t="s">
        <v>312</v>
      </c>
      <c r="S204" s="344">
        <v>0</v>
      </c>
      <c r="T204" s="343">
        <v>1050.47</v>
      </c>
      <c r="U204" s="342">
        <v>66</v>
      </c>
      <c r="V204" s="342">
        <v>66</v>
      </c>
      <c r="W204" s="344">
        <f t="shared" si="36"/>
        <v>1</v>
      </c>
      <c r="X204" s="342">
        <v>0</v>
      </c>
      <c r="Y204" s="344">
        <f t="shared" si="37"/>
        <v>0</v>
      </c>
      <c r="Z204" s="342">
        <v>0</v>
      </c>
      <c r="AA204" s="344">
        <f t="shared" si="29"/>
        <v>0</v>
      </c>
      <c r="AB204" s="342">
        <v>66</v>
      </c>
      <c r="AC204" s="344">
        <f t="shared" si="30"/>
        <v>1</v>
      </c>
      <c r="AD204" s="342">
        <v>984.47</v>
      </c>
      <c r="AE204" s="342">
        <v>0</v>
      </c>
      <c r="AF204" s="344">
        <f t="shared" si="31"/>
        <v>0</v>
      </c>
      <c r="AG204" s="342">
        <v>0</v>
      </c>
      <c r="AH204" s="344">
        <f t="shared" si="32"/>
        <v>0</v>
      </c>
      <c r="AI204" s="342">
        <v>0</v>
      </c>
      <c r="AJ204" s="344">
        <f t="shared" si="33"/>
        <v>0</v>
      </c>
      <c r="AK204" s="342">
        <v>984.47</v>
      </c>
      <c r="AL204" s="784">
        <f t="shared" si="34"/>
        <v>1</v>
      </c>
      <c r="AM204" s="350" t="s">
        <v>313</v>
      </c>
      <c r="AN204" s="350" t="s">
        <v>313</v>
      </c>
      <c r="AO204" s="350" t="s">
        <v>313</v>
      </c>
      <c r="AP204" s="639">
        <f t="shared" si="35"/>
        <v>0</v>
      </c>
    </row>
    <row r="205" spans="1:42" x14ac:dyDescent="0.2">
      <c r="A205" s="638">
        <v>42491</v>
      </c>
      <c r="B205" s="341" t="s">
        <v>133</v>
      </c>
      <c r="C205" s="351" t="s">
        <v>164</v>
      </c>
      <c r="D205" s="342">
        <v>215371.85000903899</v>
      </c>
      <c r="E205" s="342">
        <v>14433</v>
      </c>
      <c r="F205" s="342">
        <v>200938.85000903899</v>
      </c>
      <c r="G205" s="342">
        <v>126497.28001028299</v>
      </c>
      <c r="H205" s="342">
        <v>57928.789924204299</v>
      </c>
      <c r="I205" s="342">
        <v>68568.4900860786</v>
      </c>
      <c r="J205" s="342">
        <v>2787.0299961566898</v>
      </c>
      <c r="K205" s="343">
        <v>123710.25001412621</v>
      </c>
      <c r="L205" s="342">
        <v>58388.000117480799</v>
      </c>
      <c r="M205" s="342">
        <v>28637.649986300599</v>
      </c>
      <c r="N205" s="354">
        <v>1035</v>
      </c>
      <c r="O205" s="343">
        <v>208.08874397008597</v>
      </c>
      <c r="P205" s="343">
        <v>124.00599024662567</v>
      </c>
      <c r="Q205" s="343">
        <v>122.21959421283373</v>
      </c>
      <c r="R205" s="344">
        <v>0.58734361062030116</v>
      </c>
      <c r="S205" s="344">
        <v>1.0074714582922233</v>
      </c>
      <c r="T205" s="343">
        <v>205570.07</v>
      </c>
      <c r="U205" s="342">
        <v>167719.18</v>
      </c>
      <c r="V205" s="342">
        <v>33806.14</v>
      </c>
      <c r="W205" s="344">
        <f t="shared" si="36"/>
        <v>0.20156394754613038</v>
      </c>
      <c r="X205" s="342">
        <v>3153.63</v>
      </c>
      <c r="Y205" s="344">
        <f t="shared" si="37"/>
        <v>1.8803037315112084E-2</v>
      </c>
      <c r="Z205" s="342">
        <v>3321.84</v>
      </c>
      <c r="AA205" s="344">
        <f t="shared" si="29"/>
        <v>1.9805963754413777E-2</v>
      </c>
      <c r="AB205" s="342">
        <v>22534.04</v>
      </c>
      <c r="AC205" s="344">
        <f t="shared" si="30"/>
        <v>0.13435577254789824</v>
      </c>
      <c r="AD205" s="342">
        <v>37850.89</v>
      </c>
      <c r="AE205" s="342">
        <v>2297.48</v>
      </c>
      <c r="AF205" s="344">
        <f t="shared" si="31"/>
        <v>6.0698176449747947E-2</v>
      </c>
      <c r="AG205" s="342">
        <v>3196.2</v>
      </c>
      <c r="AH205" s="344">
        <f t="shared" si="32"/>
        <v>8.4441871776330751E-2</v>
      </c>
      <c r="AI205" s="342">
        <v>3170.35</v>
      </c>
      <c r="AJ205" s="344">
        <f t="shared" si="33"/>
        <v>8.3758928786086664E-2</v>
      </c>
      <c r="AK205" s="342">
        <v>20029.96</v>
      </c>
      <c r="AL205" s="784">
        <f t="shared" si="34"/>
        <v>0.52918068769320881</v>
      </c>
      <c r="AM205" s="350">
        <v>31.389089528269956</v>
      </c>
      <c r="AN205" s="350">
        <v>27.375950417021532</v>
      </c>
      <c r="AO205" s="350">
        <v>89.571416175851908</v>
      </c>
      <c r="AP205" s="639">
        <f t="shared" si="35"/>
        <v>2.1714939734982539E-2</v>
      </c>
    </row>
    <row r="206" spans="1:42" x14ac:dyDescent="0.2">
      <c r="A206" s="638">
        <v>42491</v>
      </c>
      <c r="B206" s="341" t="s">
        <v>133</v>
      </c>
      <c r="C206" s="351" t="s">
        <v>165</v>
      </c>
      <c r="D206" s="342">
        <v>0</v>
      </c>
      <c r="E206" s="342">
        <v>0</v>
      </c>
      <c r="F206" s="342">
        <v>0</v>
      </c>
      <c r="G206" s="342">
        <v>0</v>
      </c>
      <c r="H206" s="342">
        <v>0</v>
      </c>
      <c r="I206" s="342">
        <v>0</v>
      </c>
      <c r="J206" s="342">
        <v>0</v>
      </c>
      <c r="K206" s="343">
        <v>0</v>
      </c>
      <c r="L206" s="342">
        <v>0</v>
      </c>
      <c r="M206" s="342">
        <v>2744.8700190782502</v>
      </c>
      <c r="N206" s="354">
        <v>0</v>
      </c>
      <c r="O206" s="343" t="s">
        <v>311</v>
      </c>
      <c r="P206" s="343" t="s">
        <v>311</v>
      </c>
      <c r="Q206" s="343" t="s">
        <v>311</v>
      </c>
      <c r="R206" s="344" t="s">
        <v>312</v>
      </c>
      <c r="S206" s="344">
        <v>0</v>
      </c>
      <c r="T206" s="343">
        <v>1240.03</v>
      </c>
      <c r="U206" s="342">
        <v>1312</v>
      </c>
      <c r="V206" s="342">
        <v>1312</v>
      </c>
      <c r="W206" s="344">
        <f t="shared" si="36"/>
        <v>1</v>
      </c>
      <c r="X206" s="342">
        <v>0</v>
      </c>
      <c r="Y206" s="344">
        <f t="shared" si="37"/>
        <v>0</v>
      </c>
      <c r="Z206" s="342">
        <v>0</v>
      </c>
      <c r="AA206" s="344">
        <f t="shared" si="29"/>
        <v>0</v>
      </c>
      <c r="AB206" s="342">
        <v>1312</v>
      </c>
      <c r="AC206" s="344">
        <f t="shared" si="30"/>
        <v>1</v>
      </c>
      <c r="AD206" s="342">
        <v>-71.97</v>
      </c>
      <c r="AE206" s="342">
        <v>0</v>
      </c>
      <c r="AF206" s="344">
        <f t="shared" si="31"/>
        <v>0</v>
      </c>
      <c r="AG206" s="342">
        <v>0</v>
      </c>
      <c r="AH206" s="344">
        <f t="shared" si="32"/>
        <v>0</v>
      </c>
      <c r="AI206" s="342">
        <v>0</v>
      </c>
      <c r="AJ206" s="344">
        <f t="shared" si="33"/>
        <v>0</v>
      </c>
      <c r="AK206" s="342">
        <v>-71.97</v>
      </c>
      <c r="AL206" s="784">
        <f t="shared" si="34"/>
        <v>1</v>
      </c>
      <c r="AM206" s="350" t="s">
        <v>313</v>
      </c>
      <c r="AN206" s="350" t="s">
        <v>313</v>
      </c>
      <c r="AO206" s="350" t="s">
        <v>313</v>
      </c>
      <c r="AP206" s="639">
        <f t="shared" si="35"/>
        <v>0</v>
      </c>
    </row>
    <row r="207" spans="1:42" x14ac:dyDescent="0.2">
      <c r="A207" s="638">
        <v>42491</v>
      </c>
      <c r="B207" s="341" t="s">
        <v>133</v>
      </c>
      <c r="C207" s="351" t="s">
        <v>166</v>
      </c>
      <c r="D207" s="342">
        <v>403126.440011898</v>
      </c>
      <c r="E207" s="342">
        <v>20629.009999999798</v>
      </c>
      <c r="F207" s="342">
        <v>382497.43001189799</v>
      </c>
      <c r="G207" s="342">
        <v>260259.63997767301</v>
      </c>
      <c r="H207" s="342">
        <v>128564.899768332</v>
      </c>
      <c r="I207" s="342">
        <v>131694.74020934099</v>
      </c>
      <c r="J207" s="342">
        <v>4977.9600009694695</v>
      </c>
      <c r="K207" s="343">
        <v>255281.67997670354</v>
      </c>
      <c r="L207" s="342">
        <v>124119.580173749</v>
      </c>
      <c r="M207" s="342">
        <v>150487.85996121701</v>
      </c>
      <c r="N207" s="354">
        <v>1907</v>
      </c>
      <c r="O207" s="343">
        <v>211.39299423801666</v>
      </c>
      <c r="P207" s="343">
        <v>67.39328782219809</v>
      </c>
      <c r="Q207" s="343">
        <v>136.47595174497798</v>
      </c>
      <c r="R207" s="344">
        <v>0.64560300229871248</v>
      </c>
      <c r="S207" s="344">
        <v>2.1066654468748118</v>
      </c>
      <c r="T207" s="343">
        <v>377863.7</v>
      </c>
      <c r="U207" s="342">
        <v>284118.33</v>
      </c>
      <c r="V207" s="342">
        <v>40368.92</v>
      </c>
      <c r="W207" s="344">
        <f t="shared" si="36"/>
        <v>0.14208488413964701</v>
      </c>
      <c r="X207" s="342">
        <v>3660.78</v>
      </c>
      <c r="Y207" s="344">
        <f t="shared" si="37"/>
        <v>1.288470194795246E-2</v>
      </c>
      <c r="Z207" s="342">
        <v>2396.25</v>
      </c>
      <c r="AA207" s="344">
        <f t="shared" si="29"/>
        <v>8.4339859381828679E-3</v>
      </c>
      <c r="AB207" s="342">
        <v>21351.65</v>
      </c>
      <c r="AC207" s="344">
        <f t="shared" si="30"/>
        <v>7.5150554348253421E-2</v>
      </c>
      <c r="AD207" s="342">
        <v>93745.37</v>
      </c>
      <c r="AE207" s="342">
        <v>6941.45</v>
      </c>
      <c r="AF207" s="344">
        <f t="shared" si="31"/>
        <v>7.4045790208092419E-2</v>
      </c>
      <c r="AG207" s="342">
        <v>9516.35</v>
      </c>
      <c r="AH207" s="344">
        <f t="shared" si="32"/>
        <v>0.1015127467095175</v>
      </c>
      <c r="AI207" s="342">
        <v>7383.45</v>
      </c>
      <c r="AJ207" s="344">
        <f t="shared" si="33"/>
        <v>7.8760689727930031E-2</v>
      </c>
      <c r="AK207" s="342">
        <v>50893</v>
      </c>
      <c r="AL207" s="784">
        <f t="shared" si="34"/>
        <v>0.54288547797080544</v>
      </c>
      <c r="AM207" s="350">
        <v>28.741064067807837</v>
      </c>
      <c r="AN207" s="350">
        <v>22.806614994681862</v>
      </c>
      <c r="AO207" s="350">
        <v>135.97012038966051</v>
      </c>
      <c r="AP207" s="639">
        <f t="shared" si="35"/>
        <v>3.8733261274490893E-2</v>
      </c>
    </row>
    <row r="208" spans="1:42" x14ac:dyDescent="0.2">
      <c r="A208" s="638">
        <v>42491</v>
      </c>
      <c r="B208" s="341" t="s">
        <v>133</v>
      </c>
      <c r="C208" s="351" t="s">
        <v>167</v>
      </c>
      <c r="D208" s="342">
        <v>0</v>
      </c>
      <c r="E208" s="342">
        <v>0</v>
      </c>
      <c r="F208" s="342">
        <v>0</v>
      </c>
      <c r="G208" s="342">
        <v>283.33000421524002</v>
      </c>
      <c r="H208" s="342">
        <v>160.00000381469701</v>
      </c>
      <c r="I208" s="342">
        <v>123.330000400543</v>
      </c>
      <c r="J208" s="342">
        <v>13.0900001525879</v>
      </c>
      <c r="K208" s="343">
        <v>270.24000406265213</v>
      </c>
      <c r="L208" s="342">
        <v>81.699996948242202</v>
      </c>
      <c r="M208" s="342">
        <v>4082.5600069165198</v>
      </c>
      <c r="N208" s="354">
        <v>0</v>
      </c>
      <c r="O208" s="343" t="s">
        <v>311</v>
      </c>
      <c r="P208" s="343" t="s">
        <v>311</v>
      </c>
      <c r="Q208" s="343" t="s">
        <v>311</v>
      </c>
      <c r="R208" s="344" t="s">
        <v>312</v>
      </c>
      <c r="S208" s="344">
        <v>-6.7825296885049624E-2</v>
      </c>
      <c r="T208" s="343">
        <v>9285.14</v>
      </c>
      <c r="U208" s="342">
        <v>1174.0899999999999</v>
      </c>
      <c r="V208" s="342">
        <v>1174.0899999999999</v>
      </c>
      <c r="W208" s="344">
        <f t="shared" si="36"/>
        <v>1</v>
      </c>
      <c r="X208" s="342">
        <v>0</v>
      </c>
      <c r="Y208" s="344">
        <f t="shared" si="37"/>
        <v>0</v>
      </c>
      <c r="Z208" s="342">
        <v>0</v>
      </c>
      <c r="AA208" s="344">
        <f t="shared" si="29"/>
        <v>0</v>
      </c>
      <c r="AB208" s="342">
        <v>1174.0899999999999</v>
      </c>
      <c r="AC208" s="344">
        <f t="shared" si="30"/>
        <v>1</v>
      </c>
      <c r="AD208" s="342">
        <v>8111.05</v>
      </c>
      <c r="AE208" s="342">
        <v>0</v>
      </c>
      <c r="AF208" s="344">
        <f t="shared" si="31"/>
        <v>0</v>
      </c>
      <c r="AG208" s="342">
        <v>0</v>
      </c>
      <c r="AH208" s="344">
        <f t="shared" si="32"/>
        <v>0</v>
      </c>
      <c r="AI208" s="342">
        <v>0</v>
      </c>
      <c r="AJ208" s="344">
        <f t="shared" si="33"/>
        <v>0</v>
      </c>
      <c r="AK208" s="342">
        <v>8111.05</v>
      </c>
      <c r="AL208" s="784">
        <f t="shared" si="34"/>
        <v>1</v>
      </c>
      <c r="AM208" s="350" t="s">
        <v>313</v>
      </c>
      <c r="AN208" s="350" t="s">
        <v>313</v>
      </c>
      <c r="AO208" s="350" t="s">
        <v>313</v>
      </c>
      <c r="AP208" s="639">
        <f t="shared" si="35"/>
        <v>-3.1434156705967796E-3</v>
      </c>
    </row>
    <row r="209" spans="1:42" x14ac:dyDescent="0.2">
      <c r="A209" s="638">
        <v>42491</v>
      </c>
      <c r="B209" s="341" t="s">
        <v>133</v>
      </c>
      <c r="C209" s="351" t="s">
        <v>168</v>
      </c>
      <c r="D209" s="342">
        <v>0</v>
      </c>
      <c r="E209" s="342">
        <v>0</v>
      </c>
      <c r="F209" s="342">
        <v>0</v>
      </c>
      <c r="G209" s="342">
        <v>0</v>
      </c>
      <c r="H209" s="342">
        <v>0</v>
      </c>
      <c r="I209" s="342">
        <v>0</v>
      </c>
      <c r="J209" s="342">
        <v>0</v>
      </c>
      <c r="K209" s="343">
        <v>0</v>
      </c>
      <c r="L209" s="342">
        <v>0</v>
      </c>
      <c r="M209" s="342">
        <v>2720.6699908059099</v>
      </c>
      <c r="N209" s="354">
        <v>0</v>
      </c>
      <c r="O209" s="343" t="s">
        <v>311</v>
      </c>
      <c r="P209" s="343" t="s">
        <v>311</v>
      </c>
      <c r="Q209" s="343" t="s">
        <v>311</v>
      </c>
      <c r="R209" s="344" t="s">
        <v>312</v>
      </c>
      <c r="S209" s="344">
        <v>0</v>
      </c>
      <c r="T209" s="343">
        <v>0</v>
      </c>
      <c r="U209" s="342">
        <v>0</v>
      </c>
      <c r="V209" s="342">
        <v>0</v>
      </c>
      <c r="W209" s="344" t="str">
        <f t="shared" si="36"/>
        <v>0.00%</v>
      </c>
      <c r="X209" s="342">
        <v>0</v>
      </c>
      <c r="Y209" s="344" t="str">
        <f t="shared" si="37"/>
        <v>0.00%</v>
      </c>
      <c r="Z209" s="342">
        <v>0</v>
      </c>
      <c r="AA209" s="344">
        <f t="shared" si="29"/>
        <v>0</v>
      </c>
      <c r="AB209" s="342">
        <v>0</v>
      </c>
      <c r="AC209" s="344" t="str">
        <f t="shared" si="30"/>
        <v>0.00%</v>
      </c>
      <c r="AD209" s="342">
        <v>0</v>
      </c>
      <c r="AE209" s="342">
        <v>0</v>
      </c>
      <c r="AF209" s="344" t="str">
        <f t="shared" si="31"/>
        <v>0.00%</v>
      </c>
      <c r="AG209" s="342">
        <v>0</v>
      </c>
      <c r="AH209" s="344" t="str">
        <f t="shared" si="32"/>
        <v>0.00%</v>
      </c>
      <c r="AI209" s="342">
        <v>0</v>
      </c>
      <c r="AJ209" s="344">
        <f t="shared" si="33"/>
        <v>0</v>
      </c>
      <c r="AK209" s="342">
        <v>0</v>
      </c>
      <c r="AL209" s="784" t="str">
        <f t="shared" si="34"/>
        <v>0.00%</v>
      </c>
      <c r="AM209" s="350" t="s">
        <v>313</v>
      </c>
      <c r="AN209" s="350" t="s">
        <v>313</v>
      </c>
      <c r="AO209" s="350" t="s">
        <v>313</v>
      </c>
      <c r="AP209" s="639">
        <f t="shared" si="35"/>
        <v>0</v>
      </c>
    </row>
    <row r="210" spans="1:42" x14ac:dyDescent="0.2">
      <c r="A210" s="638">
        <v>42491</v>
      </c>
      <c r="B210" s="341" t="s">
        <v>133</v>
      </c>
      <c r="C210" s="351" t="s">
        <v>169</v>
      </c>
      <c r="D210" s="342">
        <v>271799.58001800103</v>
      </c>
      <c r="E210" s="342">
        <v>12145</v>
      </c>
      <c r="F210" s="342">
        <v>259654.580018001</v>
      </c>
      <c r="G210" s="342">
        <v>159265.03996560001</v>
      </c>
      <c r="H210" s="342">
        <v>83974.549894422307</v>
      </c>
      <c r="I210" s="342">
        <v>75290.490071177497</v>
      </c>
      <c r="J210" s="342">
        <v>3178.21000267006</v>
      </c>
      <c r="K210" s="343">
        <v>156086.82996292974</v>
      </c>
      <c r="L210" s="342">
        <v>82815.310081431599</v>
      </c>
      <c r="M210" s="342">
        <v>139455.99003272899</v>
      </c>
      <c r="N210" s="354">
        <v>1380</v>
      </c>
      <c r="O210" s="343">
        <v>196.95621740434856</v>
      </c>
      <c r="P210" s="343">
        <v>35.890057901333655</v>
      </c>
      <c r="Q210" s="343">
        <v>115.40944925043465</v>
      </c>
      <c r="R210" s="344">
        <v>0.58596499654286383</v>
      </c>
      <c r="S210" s="344">
        <v>3.4361337599962969</v>
      </c>
      <c r="T210" s="343">
        <v>288452.39</v>
      </c>
      <c r="U210" s="342">
        <v>221653.52</v>
      </c>
      <c r="V210" s="342">
        <v>31123.200000000004</v>
      </c>
      <c r="W210" s="344">
        <f t="shared" si="36"/>
        <v>0.14041374123000622</v>
      </c>
      <c r="X210" s="342">
        <v>3359.38</v>
      </c>
      <c r="Y210" s="344">
        <f t="shared" si="37"/>
        <v>1.5155996620310835E-2</v>
      </c>
      <c r="Z210" s="342">
        <v>1244.31</v>
      </c>
      <c r="AA210" s="344">
        <f t="shared" si="29"/>
        <v>5.6137615139159533E-3</v>
      </c>
      <c r="AB210" s="342">
        <v>17663.830000000002</v>
      </c>
      <c r="AC210" s="344">
        <f t="shared" si="30"/>
        <v>7.9691177473743713E-2</v>
      </c>
      <c r="AD210" s="342">
        <v>66798.87</v>
      </c>
      <c r="AE210" s="342">
        <v>6065.4</v>
      </c>
      <c r="AF210" s="344">
        <f t="shared" si="31"/>
        <v>9.0800937201482607E-2</v>
      </c>
      <c r="AG210" s="342">
        <v>8732.77</v>
      </c>
      <c r="AH210" s="344">
        <f t="shared" si="32"/>
        <v>0.13073230130988744</v>
      </c>
      <c r="AI210" s="342">
        <v>8358.44</v>
      </c>
      <c r="AJ210" s="344">
        <f t="shared" si="33"/>
        <v>0.12512846399946587</v>
      </c>
      <c r="AK210" s="342">
        <v>28425.08</v>
      </c>
      <c r="AL210" s="784">
        <f t="shared" si="34"/>
        <v>0.42553234807714568</v>
      </c>
      <c r="AM210" s="350">
        <v>32.225517866424397</v>
      </c>
      <c r="AN210" s="350">
        <v>25.902644219629337</v>
      </c>
      <c r="AO210" s="350">
        <v>169.59284053348836</v>
      </c>
      <c r="AP210" s="639">
        <f t="shared" si="35"/>
        <v>6.4169601868681495E-2</v>
      </c>
    </row>
    <row r="211" spans="1:42" x14ac:dyDescent="0.2">
      <c r="A211" s="638">
        <v>42491</v>
      </c>
      <c r="B211" s="341" t="s">
        <v>133</v>
      </c>
      <c r="C211" s="351" t="s">
        <v>170</v>
      </c>
      <c r="D211" s="342">
        <v>0</v>
      </c>
      <c r="E211" s="342">
        <v>0</v>
      </c>
      <c r="F211" s="342">
        <v>0</v>
      </c>
      <c r="G211" s="342">
        <v>0</v>
      </c>
      <c r="H211" s="342">
        <v>0</v>
      </c>
      <c r="I211" s="342">
        <v>0</v>
      </c>
      <c r="J211" s="342">
        <v>0</v>
      </c>
      <c r="K211" s="343">
        <v>0</v>
      </c>
      <c r="L211" s="342">
        <v>0</v>
      </c>
      <c r="M211" s="342">
        <v>192.579999923706</v>
      </c>
      <c r="N211" s="354">
        <v>0</v>
      </c>
      <c r="O211" s="343" t="s">
        <v>311</v>
      </c>
      <c r="P211" s="343" t="s">
        <v>311</v>
      </c>
      <c r="Q211" s="343" t="s">
        <v>311</v>
      </c>
      <c r="R211" s="344" t="s">
        <v>312</v>
      </c>
      <c r="S211" s="344">
        <v>0</v>
      </c>
      <c r="T211" s="343">
        <v>0</v>
      </c>
      <c r="U211" s="342">
        <v>0</v>
      </c>
      <c r="V211" s="342">
        <v>0</v>
      </c>
      <c r="W211" s="344" t="str">
        <f t="shared" si="36"/>
        <v>0.00%</v>
      </c>
      <c r="X211" s="342">
        <v>0</v>
      </c>
      <c r="Y211" s="344" t="str">
        <f t="shared" si="37"/>
        <v>0.00%</v>
      </c>
      <c r="Z211" s="342">
        <v>0</v>
      </c>
      <c r="AA211" s="344">
        <f t="shared" si="29"/>
        <v>0</v>
      </c>
      <c r="AB211" s="342">
        <v>0</v>
      </c>
      <c r="AC211" s="344" t="str">
        <f t="shared" si="30"/>
        <v>0.00%</v>
      </c>
      <c r="AD211" s="342">
        <v>0</v>
      </c>
      <c r="AE211" s="342">
        <v>0</v>
      </c>
      <c r="AF211" s="344" t="str">
        <f t="shared" si="31"/>
        <v>0.00%</v>
      </c>
      <c r="AG211" s="342">
        <v>0</v>
      </c>
      <c r="AH211" s="344" t="str">
        <f t="shared" si="32"/>
        <v>0.00%</v>
      </c>
      <c r="AI211" s="342">
        <v>0</v>
      </c>
      <c r="AJ211" s="344">
        <f t="shared" si="33"/>
        <v>0</v>
      </c>
      <c r="AK211" s="342">
        <v>0</v>
      </c>
      <c r="AL211" s="784" t="str">
        <f t="shared" si="34"/>
        <v>0.00%</v>
      </c>
      <c r="AM211" s="350" t="s">
        <v>313</v>
      </c>
      <c r="AN211" s="350" t="s">
        <v>313</v>
      </c>
      <c r="AO211" s="350" t="s">
        <v>313</v>
      </c>
      <c r="AP211" s="639">
        <f t="shared" si="35"/>
        <v>0</v>
      </c>
    </row>
    <row r="212" spans="1:42" x14ac:dyDescent="0.2">
      <c r="A212" s="638">
        <v>42491</v>
      </c>
      <c r="B212" s="341" t="s">
        <v>133</v>
      </c>
      <c r="C212" s="351" t="s">
        <v>171</v>
      </c>
      <c r="D212" s="342">
        <v>299510.07001863199</v>
      </c>
      <c r="E212" s="342">
        <v>15072</v>
      </c>
      <c r="F212" s="342">
        <v>284438.07001863199</v>
      </c>
      <c r="G212" s="342">
        <v>165351.229937881</v>
      </c>
      <c r="H212" s="342">
        <v>87901.389864563898</v>
      </c>
      <c r="I212" s="342">
        <v>77449.840073317304</v>
      </c>
      <c r="J212" s="342">
        <v>2667.5100109577202</v>
      </c>
      <c r="K212" s="343">
        <v>162683.71992692348</v>
      </c>
      <c r="L212" s="342">
        <v>77730.680229364007</v>
      </c>
      <c r="M212" s="342">
        <v>154744.43005336399</v>
      </c>
      <c r="N212" s="354">
        <v>1595</v>
      </c>
      <c r="O212" s="343">
        <v>187.78060816215171</v>
      </c>
      <c r="P212" s="343">
        <v>42.02818792219685</v>
      </c>
      <c r="Q212" s="343">
        <v>103.66848271967473</v>
      </c>
      <c r="R212" s="344">
        <v>0.5520723557895566</v>
      </c>
      <c r="S212" s="344">
        <v>2.5688640864980186</v>
      </c>
      <c r="T212" s="343">
        <v>320214.17000000004</v>
      </c>
      <c r="U212" s="342">
        <v>243463.73</v>
      </c>
      <c r="V212" s="342">
        <v>43139.45</v>
      </c>
      <c r="W212" s="344">
        <f t="shared" si="36"/>
        <v>0.17719045871843003</v>
      </c>
      <c r="X212" s="342">
        <v>6568.18</v>
      </c>
      <c r="Y212" s="344">
        <f t="shared" si="37"/>
        <v>2.6978063631901146E-2</v>
      </c>
      <c r="Z212" s="342">
        <v>2870.02</v>
      </c>
      <c r="AA212" s="344">
        <f t="shared" si="29"/>
        <v>1.1788285671956146E-2</v>
      </c>
      <c r="AB212" s="342">
        <v>26022.81</v>
      </c>
      <c r="AC212" s="344">
        <f t="shared" si="30"/>
        <v>0.10688577719564224</v>
      </c>
      <c r="AD212" s="342">
        <v>76750.44</v>
      </c>
      <c r="AE212" s="342">
        <v>7303.42</v>
      </c>
      <c r="AF212" s="344">
        <f t="shared" si="31"/>
        <v>9.5158021243917298E-2</v>
      </c>
      <c r="AG212" s="342">
        <v>8877.98</v>
      </c>
      <c r="AH212" s="344">
        <f t="shared" si="32"/>
        <v>0.11567334337106079</v>
      </c>
      <c r="AI212" s="342">
        <v>6153.89</v>
      </c>
      <c r="AJ212" s="344">
        <f t="shared" si="33"/>
        <v>8.0180517531886458E-2</v>
      </c>
      <c r="AK212" s="342">
        <v>37715.06</v>
      </c>
      <c r="AL212" s="784">
        <f t="shared" si="34"/>
        <v>0.49139861608610969</v>
      </c>
      <c r="AM212" s="350">
        <v>34.338240602916201</v>
      </c>
      <c r="AN212" s="350">
        <v>27.553356884422691</v>
      </c>
      <c r="AO212" s="350">
        <v>156.88613413886304</v>
      </c>
      <c r="AP212" s="639">
        <f t="shared" si="35"/>
        <v>3.9792818873418366E-2</v>
      </c>
    </row>
    <row r="213" spans="1:42" x14ac:dyDescent="0.2">
      <c r="A213" s="638">
        <v>42491</v>
      </c>
      <c r="B213" s="341" t="s">
        <v>133</v>
      </c>
      <c r="C213" s="351" t="s">
        <v>172</v>
      </c>
      <c r="D213" s="342">
        <v>0</v>
      </c>
      <c r="E213" s="342">
        <v>0</v>
      </c>
      <c r="F213" s="342">
        <v>0</v>
      </c>
      <c r="G213" s="342">
        <v>0</v>
      </c>
      <c r="H213" s="342">
        <v>0</v>
      </c>
      <c r="I213" s="342">
        <v>0</v>
      </c>
      <c r="J213" s="342">
        <v>0</v>
      </c>
      <c r="K213" s="343">
        <v>0</v>
      </c>
      <c r="L213" s="342">
        <v>0</v>
      </c>
      <c r="M213" s="342">
        <v>4368.88000172377</v>
      </c>
      <c r="N213" s="354">
        <v>0</v>
      </c>
      <c r="O213" s="343" t="s">
        <v>311</v>
      </c>
      <c r="P213" s="343" t="s">
        <v>311</v>
      </c>
      <c r="Q213" s="343" t="s">
        <v>311</v>
      </c>
      <c r="R213" s="344" t="s">
        <v>312</v>
      </c>
      <c r="S213" s="344">
        <v>0</v>
      </c>
      <c r="T213" s="343">
        <v>157</v>
      </c>
      <c r="U213" s="342">
        <v>157</v>
      </c>
      <c r="V213" s="342">
        <v>157</v>
      </c>
      <c r="W213" s="344">
        <f t="shared" si="36"/>
        <v>1</v>
      </c>
      <c r="X213" s="342">
        <v>0</v>
      </c>
      <c r="Y213" s="344">
        <f t="shared" si="37"/>
        <v>0</v>
      </c>
      <c r="Z213" s="342">
        <v>0</v>
      </c>
      <c r="AA213" s="344">
        <f t="shared" si="29"/>
        <v>0</v>
      </c>
      <c r="AB213" s="342">
        <v>157</v>
      </c>
      <c r="AC213" s="344">
        <f t="shared" si="30"/>
        <v>1</v>
      </c>
      <c r="AD213" s="342">
        <v>0</v>
      </c>
      <c r="AE213" s="342">
        <v>0</v>
      </c>
      <c r="AF213" s="344" t="str">
        <f t="shared" si="31"/>
        <v>0.00%</v>
      </c>
      <c r="AG213" s="342">
        <v>0</v>
      </c>
      <c r="AH213" s="344" t="str">
        <f t="shared" si="32"/>
        <v>0.00%</v>
      </c>
      <c r="AI213" s="342">
        <v>0</v>
      </c>
      <c r="AJ213" s="344">
        <f t="shared" si="33"/>
        <v>0</v>
      </c>
      <c r="AK213" s="342">
        <v>0</v>
      </c>
      <c r="AL213" s="784" t="str">
        <f t="shared" si="34"/>
        <v>0.00%</v>
      </c>
      <c r="AM213" s="350" t="s">
        <v>313</v>
      </c>
      <c r="AN213" s="350" t="s">
        <v>313</v>
      </c>
      <c r="AO213" s="350" t="s">
        <v>313</v>
      </c>
      <c r="AP213" s="639">
        <f t="shared" si="35"/>
        <v>0</v>
      </c>
    </row>
    <row r="214" spans="1:42" x14ac:dyDescent="0.2">
      <c r="A214" s="638">
        <v>42491</v>
      </c>
      <c r="B214" s="341" t="s">
        <v>133</v>
      </c>
      <c r="C214" s="351" t="s">
        <v>173</v>
      </c>
      <c r="D214" s="342">
        <v>304630.590014569</v>
      </c>
      <c r="E214" s="342">
        <v>18537</v>
      </c>
      <c r="F214" s="342">
        <v>286093.590014569</v>
      </c>
      <c r="G214" s="342">
        <v>174990.990021765</v>
      </c>
      <c r="H214" s="342">
        <v>85491.759952127904</v>
      </c>
      <c r="I214" s="342">
        <v>89499.230069637299</v>
      </c>
      <c r="J214" s="342">
        <v>3138.0699961185501</v>
      </c>
      <c r="K214" s="343">
        <v>171852.92002564666</v>
      </c>
      <c r="L214" s="342">
        <v>82933.880011348097</v>
      </c>
      <c r="M214" s="342">
        <v>185288.67999422201</v>
      </c>
      <c r="N214" s="354">
        <v>1607</v>
      </c>
      <c r="O214" s="343">
        <v>189.56477287776539</v>
      </c>
      <c r="P214" s="343">
        <v>22.655899196639002</v>
      </c>
      <c r="Q214" s="343">
        <v>108.89296205461432</v>
      </c>
      <c r="R214" s="344">
        <v>0.57443669729095903</v>
      </c>
      <c r="S214" s="344">
        <v>5.259729496338986</v>
      </c>
      <c r="T214" s="343">
        <v>351862.55000000005</v>
      </c>
      <c r="U214" s="342">
        <v>260340.14</v>
      </c>
      <c r="V214" s="342">
        <v>48932.25</v>
      </c>
      <c r="W214" s="344">
        <f t="shared" si="36"/>
        <v>0.18795507292882302</v>
      </c>
      <c r="X214" s="342">
        <v>4139.3999999999996</v>
      </c>
      <c r="Y214" s="344">
        <f t="shared" si="37"/>
        <v>1.589996840287479E-2</v>
      </c>
      <c r="Z214" s="342">
        <v>3605.77</v>
      </c>
      <c r="AA214" s="344">
        <f t="shared" si="29"/>
        <v>1.385022686090589E-2</v>
      </c>
      <c r="AB214" s="342">
        <v>31589.68</v>
      </c>
      <c r="AC214" s="344">
        <f t="shared" si="30"/>
        <v>0.12134002847198284</v>
      </c>
      <c r="AD214" s="342">
        <v>91522.41</v>
      </c>
      <c r="AE214" s="342">
        <v>8375.76</v>
      </c>
      <c r="AF214" s="344">
        <f t="shared" si="31"/>
        <v>9.1515946750091046E-2</v>
      </c>
      <c r="AG214" s="342">
        <v>11586.56</v>
      </c>
      <c r="AH214" s="344">
        <f t="shared" si="32"/>
        <v>0.12659806488924405</v>
      </c>
      <c r="AI214" s="342">
        <v>10253.31</v>
      </c>
      <c r="AJ214" s="344">
        <f t="shared" si="33"/>
        <v>0.11203059447407471</v>
      </c>
      <c r="AK214" s="342">
        <v>40957.519999999997</v>
      </c>
      <c r="AL214" s="784">
        <f t="shared" si="34"/>
        <v>0.44751356525685887</v>
      </c>
      <c r="AM214" s="350">
        <v>36.836700441500426</v>
      </c>
      <c r="AN214" s="350">
        <v>29.148678194464615</v>
      </c>
      <c r="AO214" s="350">
        <v>147.49781403924953</v>
      </c>
      <c r="AP214" s="639">
        <f t="shared" si="35"/>
        <v>8.6191699889912252E-2</v>
      </c>
    </row>
    <row r="215" spans="1:42" x14ac:dyDescent="0.2">
      <c r="A215" s="638">
        <v>42491</v>
      </c>
      <c r="B215" s="341" t="s">
        <v>133</v>
      </c>
      <c r="C215" s="351" t="s">
        <v>174</v>
      </c>
      <c r="D215" s="342">
        <v>189447.71001255099</v>
      </c>
      <c r="E215" s="342">
        <v>8959</v>
      </c>
      <c r="F215" s="342">
        <v>180488.71001255099</v>
      </c>
      <c r="G215" s="342">
        <v>117960.089920044</v>
      </c>
      <c r="H215" s="342">
        <v>67159.879807949095</v>
      </c>
      <c r="I215" s="342">
        <v>50800.210112094901</v>
      </c>
      <c r="J215" s="342">
        <v>2676.4599925279599</v>
      </c>
      <c r="K215" s="343">
        <v>115283.62992751604</v>
      </c>
      <c r="L215" s="342">
        <v>57443.4200849626</v>
      </c>
      <c r="M215" s="342">
        <v>29460.779985941899</v>
      </c>
      <c r="N215" s="354">
        <v>957</v>
      </c>
      <c r="O215" s="343">
        <v>197.95998956379412</v>
      </c>
      <c r="P215" s="343">
        <v>107.15100307382079</v>
      </c>
      <c r="Q215" s="343">
        <v>123.26028204811286</v>
      </c>
      <c r="R215" s="344">
        <v>0.62265249821298496</v>
      </c>
      <c r="S215" s="344">
        <v>1.1811712670009151</v>
      </c>
      <c r="T215" s="343">
        <v>224129.25</v>
      </c>
      <c r="U215" s="342">
        <v>158862.6</v>
      </c>
      <c r="V215" s="342">
        <v>26760.86</v>
      </c>
      <c r="W215" s="344">
        <f t="shared" si="36"/>
        <v>0.16845286429908612</v>
      </c>
      <c r="X215" s="342">
        <v>3287.13</v>
      </c>
      <c r="Y215" s="344">
        <f t="shared" si="37"/>
        <v>2.0691654297487261E-2</v>
      </c>
      <c r="Z215" s="342">
        <v>2149.7600000000002</v>
      </c>
      <c r="AA215" s="344">
        <f t="shared" si="29"/>
        <v>1.3532197005462583E-2</v>
      </c>
      <c r="AB215" s="342">
        <v>13477.23</v>
      </c>
      <c r="AC215" s="344">
        <f t="shared" si="30"/>
        <v>8.48357637354544E-2</v>
      </c>
      <c r="AD215" s="342">
        <v>65266.65</v>
      </c>
      <c r="AE215" s="342">
        <v>5786.56</v>
      </c>
      <c r="AF215" s="344">
        <f t="shared" si="31"/>
        <v>8.8660288217642547E-2</v>
      </c>
      <c r="AG215" s="342">
        <v>3940.41</v>
      </c>
      <c r="AH215" s="344">
        <f t="shared" si="32"/>
        <v>6.037401950306933E-2</v>
      </c>
      <c r="AI215" s="342">
        <v>4251.3900000000003</v>
      </c>
      <c r="AJ215" s="344">
        <f t="shared" si="33"/>
        <v>6.5138780678953193E-2</v>
      </c>
      <c r="AK215" s="342">
        <v>34887.839999999997</v>
      </c>
      <c r="AL215" s="784">
        <f t="shared" si="34"/>
        <v>0.5345431395666852</v>
      </c>
      <c r="AM215" s="350">
        <v>35.062485782069999</v>
      </c>
      <c r="AN215" s="350">
        <v>26.160736277125</v>
      </c>
      <c r="AO215" s="350">
        <v>204.13548218940053</v>
      </c>
      <c r="AP215" s="639">
        <f t="shared" si="35"/>
        <v>2.6100725380387591E-2</v>
      </c>
    </row>
    <row r="216" spans="1:42" x14ac:dyDescent="0.2">
      <c r="A216" s="638">
        <v>42491</v>
      </c>
      <c r="B216" s="341" t="s">
        <v>133</v>
      </c>
      <c r="C216" s="351" t="s">
        <v>175</v>
      </c>
      <c r="D216" s="342">
        <v>0</v>
      </c>
      <c r="E216" s="342">
        <v>0</v>
      </c>
      <c r="F216" s="342">
        <v>0</v>
      </c>
      <c r="G216" s="342">
        <v>378.61999893188499</v>
      </c>
      <c r="H216" s="342">
        <v>119.76000022888201</v>
      </c>
      <c r="I216" s="342">
        <v>258.85999870300299</v>
      </c>
      <c r="J216" s="342">
        <v>69.340000152587905</v>
      </c>
      <c r="K216" s="343">
        <v>309.2799987792971</v>
      </c>
      <c r="L216" s="342">
        <v>96.549999237060504</v>
      </c>
      <c r="M216" s="342">
        <v>9023.2800128739309</v>
      </c>
      <c r="N216" s="354">
        <v>0</v>
      </c>
      <c r="O216" s="343" t="s">
        <v>311</v>
      </c>
      <c r="P216" s="343" t="s">
        <v>311</v>
      </c>
      <c r="Q216" s="343" t="s">
        <v>311</v>
      </c>
      <c r="R216" s="344" t="s">
        <v>312</v>
      </c>
      <c r="S216" s="344">
        <v>-4.1202850575905177E-2</v>
      </c>
      <c r="T216" s="343">
        <v>12917.84</v>
      </c>
      <c r="U216" s="342">
        <v>1855.02</v>
      </c>
      <c r="V216" s="342">
        <v>1855.02</v>
      </c>
      <c r="W216" s="344">
        <f t="shared" si="36"/>
        <v>1</v>
      </c>
      <c r="X216" s="342">
        <v>0</v>
      </c>
      <c r="Y216" s="344">
        <f t="shared" si="37"/>
        <v>0</v>
      </c>
      <c r="Z216" s="342">
        <v>0</v>
      </c>
      <c r="AA216" s="344">
        <f t="shared" si="29"/>
        <v>0</v>
      </c>
      <c r="AB216" s="342">
        <v>1855.02</v>
      </c>
      <c r="AC216" s="344">
        <f t="shared" si="30"/>
        <v>1</v>
      </c>
      <c r="AD216" s="342">
        <v>11062.82</v>
      </c>
      <c r="AE216" s="342">
        <v>0</v>
      </c>
      <c r="AF216" s="344">
        <f t="shared" si="31"/>
        <v>0</v>
      </c>
      <c r="AG216" s="342">
        <v>0</v>
      </c>
      <c r="AH216" s="344">
        <f t="shared" si="32"/>
        <v>0</v>
      </c>
      <c r="AI216" s="342">
        <v>0</v>
      </c>
      <c r="AJ216" s="344">
        <f t="shared" si="33"/>
        <v>0</v>
      </c>
      <c r="AK216" s="342">
        <v>11062.82</v>
      </c>
      <c r="AL216" s="784">
        <f t="shared" si="34"/>
        <v>1</v>
      </c>
      <c r="AM216" s="350" t="s">
        <v>313</v>
      </c>
      <c r="AN216" s="350" t="s">
        <v>313</v>
      </c>
      <c r="AO216" s="350" t="s">
        <v>313</v>
      </c>
      <c r="AP216" s="639">
        <f t="shared" si="35"/>
        <v>-7.6032119086107382E-3</v>
      </c>
    </row>
    <row r="217" spans="1:42" x14ac:dyDescent="0.2">
      <c r="A217" s="638">
        <v>42491</v>
      </c>
      <c r="B217" s="341" t="s">
        <v>133</v>
      </c>
      <c r="C217" s="351" t="s">
        <v>176</v>
      </c>
      <c r="D217" s="342">
        <v>0</v>
      </c>
      <c r="E217" s="342">
        <v>0</v>
      </c>
      <c r="F217" s="342">
        <v>0</v>
      </c>
      <c r="G217" s="342">
        <v>0</v>
      </c>
      <c r="H217" s="342">
        <v>0</v>
      </c>
      <c r="I217" s="342">
        <v>0</v>
      </c>
      <c r="J217" s="342">
        <v>0</v>
      </c>
      <c r="K217" s="343">
        <v>0</v>
      </c>
      <c r="L217" s="342">
        <v>0</v>
      </c>
      <c r="M217" s="342">
        <v>538.66000366210903</v>
      </c>
      <c r="N217" s="354">
        <v>0</v>
      </c>
      <c r="O217" s="343" t="s">
        <v>311</v>
      </c>
      <c r="P217" s="343" t="s">
        <v>311</v>
      </c>
      <c r="Q217" s="343" t="s">
        <v>311</v>
      </c>
      <c r="R217" s="344" t="s">
        <v>312</v>
      </c>
      <c r="S217" s="344">
        <v>0</v>
      </c>
      <c r="T217" s="343">
        <v>0</v>
      </c>
      <c r="U217" s="342">
        <v>0</v>
      </c>
      <c r="V217" s="342">
        <v>0</v>
      </c>
      <c r="W217" s="344" t="str">
        <f t="shared" si="36"/>
        <v>0.00%</v>
      </c>
      <c r="X217" s="342">
        <v>0</v>
      </c>
      <c r="Y217" s="344" t="str">
        <f t="shared" si="37"/>
        <v>0.00%</v>
      </c>
      <c r="Z217" s="342">
        <v>0</v>
      </c>
      <c r="AA217" s="344">
        <f t="shared" si="29"/>
        <v>0</v>
      </c>
      <c r="AB217" s="342">
        <v>0</v>
      </c>
      <c r="AC217" s="344" t="str">
        <f t="shared" si="30"/>
        <v>0.00%</v>
      </c>
      <c r="AD217" s="342">
        <v>0</v>
      </c>
      <c r="AE217" s="342">
        <v>0</v>
      </c>
      <c r="AF217" s="344" t="str">
        <f t="shared" si="31"/>
        <v>0.00%</v>
      </c>
      <c r="AG217" s="342">
        <v>0</v>
      </c>
      <c r="AH217" s="344" t="str">
        <f t="shared" si="32"/>
        <v>0.00%</v>
      </c>
      <c r="AI217" s="342">
        <v>0</v>
      </c>
      <c r="AJ217" s="344">
        <f t="shared" si="33"/>
        <v>0</v>
      </c>
      <c r="AK217" s="342">
        <v>0</v>
      </c>
      <c r="AL217" s="784" t="str">
        <f t="shared" si="34"/>
        <v>0.00%</v>
      </c>
      <c r="AM217" s="350" t="s">
        <v>313</v>
      </c>
      <c r="AN217" s="350" t="s">
        <v>313</v>
      </c>
      <c r="AO217" s="350" t="s">
        <v>313</v>
      </c>
      <c r="AP217" s="639">
        <f t="shared" si="35"/>
        <v>0</v>
      </c>
    </row>
    <row r="218" spans="1:42" x14ac:dyDescent="0.2">
      <c r="A218" s="638">
        <v>42491</v>
      </c>
      <c r="B218" s="341" t="s">
        <v>133</v>
      </c>
      <c r="C218" s="351" t="s">
        <v>177</v>
      </c>
      <c r="D218" s="342">
        <v>150779.86000516801</v>
      </c>
      <c r="E218" s="342">
        <v>9712</v>
      </c>
      <c r="F218" s="342">
        <v>141067.86000516801</v>
      </c>
      <c r="G218" s="342">
        <v>107851.410034776</v>
      </c>
      <c r="H218" s="342">
        <v>53633.499953270002</v>
      </c>
      <c r="I218" s="342">
        <v>54217.910081505797</v>
      </c>
      <c r="J218" s="342">
        <v>2368.0699987411499</v>
      </c>
      <c r="K218" s="343">
        <v>105483.34003603464</v>
      </c>
      <c r="L218" s="342">
        <v>50938.490085601799</v>
      </c>
      <c r="M218" s="342">
        <v>104451.879955778</v>
      </c>
      <c r="N218" s="354">
        <v>805</v>
      </c>
      <c r="O218" s="343">
        <v>187.30417391946338</v>
      </c>
      <c r="P218" s="343">
        <v>-5.7273416598904294</v>
      </c>
      <c r="Q218" s="343">
        <v>133.97690687549789</v>
      </c>
      <c r="R218" s="344">
        <v>0.71529055691575227</v>
      </c>
      <c r="S218" s="344">
        <v>-15.454635397830327</v>
      </c>
      <c r="T218" s="343">
        <v>133615.78</v>
      </c>
      <c r="U218" s="342">
        <v>104277.38</v>
      </c>
      <c r="V218" s="342">
        <v>24789.57</v>
      </c>
      <c r="W218" s="344">
        <f t="shared" si="36"/>
        <v>0.23772720411655912</v>
      </c>
      <c r="X218" s="342">
        <v>3127</v>
      </c>
      <c r="Y218" s="344">
        <f t="shared" si="37"/>
        <v>2.9987328028379692E-2</v>
      </c>
      <c r="Z218" s="342">
        <v>1700</v>
      </c>
      <c r="AA218" s="344">
        <f t="shared" si="29"/>
        <v>1.6302672736886945E-2</v>
      </c>
      <c r="AB218" s="342">
        <v>15988.95</v>
      </c>
      <c r="AC218" s="344">
        <f t="shared" si="30"/>
        <v>0.15333095250379325</v>
      </c>
      <c r="AD218" s="342">
        <v>29338.400000000001</v>
      </c>
      <c r="AE218" s="342">
        <v>3622.52</v>
      </c>
      <c r="AF218" s="344">
        <f t="shared" si="31"/>
        <v>0.12347367272925584</v>
      </c>
      <c r="AG218" s="342">
        <v>1981.06</v>
      </c>
      <c r="AH218" s="344">
        <f t="shared" si="32"/>
        <v>6.7524473045564845E-2</v>
      </c>
      <c r="AI218" s="342">
        <v>2351.08</v>
      </c>
      <c r="AJ218" s="344">
        <f t="shared" si="33"/>
        <v>8.0136612766885718E-2</v>
      </c>
      <c r="AK218" s="342">
        <v>15902.97</v>
      </c>
      <c r="AL218" s="784">
        <f t="shared" si="34"/>
        <v>0.54205307719575702</v>
      </c>
      <c r="AM218" s="350">
        <f>IFERROR(T218/(D218+D168+D118)*90,"0.00")</f>
        <v>24.937082878972198</v>
      </c>
      <c r="AN218" s="350">
        <f>IFERROR(U218/(F218+F168+F118)*90,"0.00")</f>
        <v>20.661468028614273</v>
      </c>
      <c r="AO218" s="350">
        <f>IFERROR(AD218/(E218+E168+E118)*90,"0.00")</f>
        <v>94.285163363685058</v>
      </c>
      <c r="AP218" s="639">
        <f t="shared" si="35"/>
        <v>-0.51362430189759734</v>
      </c>
    </row>
    <row r="219" spans="1:42" x14ac:dyDescent="0.2">
      <c r="A219" s="638">
        <v>42491</v>
      </c>
      <c r="B219" s="341" t="s">
        <v>134</v>
      </c>
      <c r="C219" s="351" t="s">
        <v>178</v>
      </c>
      <c r="D219" s="342">
        <v>619471.10415528703</v>
      </c>
      <c r="E219" s="342">
        <v>20504</v>
      </c>
      <c r="F219" s="342">
        <v>598967.10415528703</v>
      </c>
      <c r="G219" s="342">
        <v>428059.31056686724</v>
      </c>
      <c r="H219" s="342">
        <v>285240.00040622952</v>
      </c>
      <c r="I219" s="342">
        <v>142819.3101606369</v>
      </c>
      <c r="J219" s="342">
        <v>8706.01002037525</v>
      </c>
      <c r="K219" s="343">
        <v>419353.30054649117</v>
      </c>
      <c r="L219" s="342">
        <v>187227.37893085933</v>
      </c>
      <c r="M219" s="342">
        <v>14476.71005868911</v>
      </c>
      <c r="N219" s="354">
        <v>3119</v>
      </c>
      <c r="O219" s="343">
        <v>198.61208853968805</v>
      </c>
      <c r="P219" s="343">
        <v>133.94261467320891</v>
      </c>
      <c r="Q219" s="343">
        <v>137.24248495250606</v>
      </c>
      <c r="R219" s="344">
        <v>0.69100771237839997</v>
      </c>
      <c r="S219" s="344">
        <v>1.0464436971076034</v>
      </c>
      <c r="T219" s="343">
        <v>649372.02</v>
      </c>
      <c r="U219" s="342">
        <v>578244.28</v>
      </c>
      <c r="V219" s="342">
        <v>91697.37</v>
      </c>
      <c r="W219" s="344">
        <f t="shared" si="36"/>
        <v>0.15857894867546288</v>
      </c>
      <c r="X219" s="342">
        <v>26129.17</v>
      </c>
      <c r="Y219" s="344">
        <f t="shared" si="37"/>
        <v>4.5187079066307402E-2</v>
      </c>
      <c r="Z219" s="342">
        <v>20666</v>
      </c>
      <c r="AA219" s="344">
        <f t="shared" si="29"/>
        <v>3.5739220801284881E-2</v>
      </c>
      <c r="AB219" s="342">
        <v>18777.22</v>
      </c>
      <c r="AC219" s="344">
        <f t="shared" si="30"/>
        <v>3.2472815814105417E-2</v>
      </c>
      <c r="AD219" s="342">
        <v>71127.739999999991</v>
      </c>
      <c r="AE219" s="342">
        <v>8388.26</v>
      </c>
      <c r="AF219" s="344">
        <f t="shared" si="31"/>
        <v>0.11793232851205453</v>
      </c>
      <c r="AG219" s="342">
        <v>9380.9700000000012</v>
      </c>
      <c r="AH219" s="344">
        <f t="shared" si="32"/>
        <v>0.13188904919515229</v>
      </c>
      <c r="AI219" s="342">
        <v>9314.02</v>
      </c>
      <c r="AJ219" s="344">
        <f t="shared" si="33"/>
        <v>0.13094778492891807</v>
      </c>
      <c r="AK219" s="342">
        <v>18613.34</v>
      </c>
      <c r="AL219" s="784">
        <f t="shared" si="34"/>
        <v>0.26168889943642243</v>
      </c>
      <c r="AM219" s="350">
        <f>IFERROR(T219/(D219+D169+D119)*90,"0.00")</f>
        <v>34.787359711388191</v>
      </c>
      <c r="AN219" s="350">
        <f>IFERROR(U219/(F219+F169+F119)*90,"0.00")</f>
        <v>31.899170350753348</v>
      </c>
      <c r="AO219" s="350">
        <f>IFERROR(AD219/(E219+E169+E119)*90,"0.00")</f>
        <v>131.80482210508976</v>
      </c>
      <c r="AP219" s="639">
        <f t="shared" si="35"/>
        <v>2.0839390627623768E-2</v>
      </c>
    </row>
    <row r="220" spans="1:42" x14ac:dyDescent="0.2">
      <c r="A220" s="638">
        <v>42491</v>
      </c>
      <c r="B220" s="341" t="s">
        <v>135</v>
      </c>
      <c r="C220" s="351" t="s">
        <v>180</v>
      </c>
      <c r="D220" s="342">
        <v>0</v>
      </c>
      <c r="E220" s="342">
        <v>0</v>
      </c>
      <c r="F220" s="342">
        <v>0</v>
      </c>
      <c r="G220" s="342">
        <v>0</v>
      </c>
      <c r="H220" s="342">
        <v>0</v>
      </c>
      <c r="I220" s="342">
        <v>0</v>
      </c>
      <c r="J220" s="342">
        <v>0</v>
      </c>
      <c r="K220" s="343">
        <v>0</v>
      </c>
      <c r="L220" s="342">
        <v>0</v>
      </c>
      <c r="M220" s="342">
        <v>1849.31999826431</v>
      </c>
      <c r="N220" s="354">
        <v>0</v>
      </c>
      <c r="O220" s="343" t="s">
        <v>311</v>
      </c>
      <c r="P220" s="343" t="s">
        <v>311</v>
      </c>
      <c r="Q220" s="343" t="s">
        <v>311</v>
      </c>
      <c r="R220" s="344" t="s">
        <v>312</v>
      </c>
      <c r="S220" s="344">
        <v>0</v>
      </c>
      <c r="T220" s="343">
        <v>-65.509999999999991</v>
      </c>
      <c r="U220" s="342">
        <v>-125.21</v>
      </c>
      <c r="V220" s="342">
        <v>-125.21</v>
      </c>
      <c r="W220" s="344">
        <v>0</v>
      </c>
      <c r="X220" s="342">
        <v>0</v>
      </c>
      <c r="Y220" s="344">
        <f t="shared" si="37"/>
        <v>0</v>
      </c>
      <c r="Z220" s="342">
        <v>0</v>
      </c>
      <c r="AA220" s="344">
        <f t="shared" si="29"/>
        <v>0</v>
      </c>
      <c r="AB220" s="342">
        <v>-125.21</v>
      </c>
      <c r="AC220" s="344">
        <v>0</v>
      </c>
      <c r="AD220" s="342">
        <v>59.7</v>
      </c>
      <c r="AE220" s="342">
        <v>0</v>
      </c>
      <c r="AF220" s="344">
        <f t="shared" si="31"/>
        <v>0</v>
      </c>
      <c r="AG220" s="342">
        <v>0</v>
      </c>
      <c r="AH220" s="344">
        <f t="shared" si="32"/>
        <v>0</v>
      </c>
      <c r="AI220" s="342">
        <v>0</v>
      </c>
      <c r="AJ220" s="344">
        <f t="shared" si="33"/>
        <v>0</v>
      </c>
      <c r="AK220" s="342">
        <v>59.7</v>
      </c>
      <c r="AL220" s="784">
        <f t="shared" si="34"/>
        <v>1</v>
      </c>
      <c r="AM220" s="350" t="s">
        <v>313</v>
      </c>
      <c r="AN220" s="350" t="s">
        <v>313</v>
      </c>
      <c r="AO220" s="350" t="s">
        <v>313</v>
      </c>
      <c r="AP220" s="639">
        <f t="shared" si="35"/>
        <v>0</v>
      </c>
    </row>
    <row r="221" spans="1:42" x14ac:dyDescent="0.2">
      <c r="A221" s="638">
        <v>42491</v>
      </c>
      <c r="B221" s="341" t="s">
        <v>135</v>
      </c>
      <c r="C221" s="351" t="s">
        <v>181</v>
      </c>
      <c r="D221" s="342">
        <v>118685.260009766</v>
      </c>
      <c r="E221" s="342">
        <v>7439</v>
      </c>
      <c r="F221" s="342">
        <v>111246.260009766</v>
      </c>
      <c r="G221" s="342">
        <v>67325.420369386702</v>
      </c>
      <c r="H221" s="342">
        <v>35233.780218839602</v>
      </c>
      <c r="I221" s="342">
        <v>32091.640150546998</v>
      </c>
      <c r="J221" s="342">
        <v>1848.73999595642</v>
      </c>
      <c r="K221" s="343">
        <v>65476.680373430179</v>
      </c>
      <c r="L221" s="342">
        <v>32833.149790763899</v>
      </c>
      <c r="M221" s="342">
        <v>47741.910032888904</v>
      </c>
      <c r="N221" s="354">
        <v>965</v>
      </c>
      <c r="O221" s="343">
        <v>122.98990674587151</v>
      </c>
      <c r="P221" s="343">
        <v>39.492435426024045</v>
      </c>
      <c r="Q221" s="343">
        <v>69.767274994183012</v>
      </c>
      <c r="R221" s="344">
        <v>0.56726016662765655</v>
      </c>
      <c r="S221" s="344">
        <v>1.856666003418753</v>
      </c>
      <c r="T221" s="343">
        <v>109415.97</v>
      </c>
      <c r="U221" s="342">
        <v>83853.990000000005</v>
      </c>
      <c r="V221" s="342">
        <v>12420.24</v>
      </c>
      <c r="W221" s="344">
        <f t="shared" si="36"/>
        <v>0.14811745988473535</v>
      </c>
      <c r="X221" s="342">
        <v>925.32</v>
      </c>
      <c r="Y221" s="344">
        <f t="shared" si="37"/>
        <v>1.1034895298363262E-2</v>
      </c>
      <c r="Z221" s="342">
        <v>837.18</v>
      </c>
      <c r="AA221" s="344">
        <f t="shared" si="29"/>
        <v>9.983782524838709E-3</v>
      </c>
      <c r="AB221" s="342">
        <v>7300.74</v>
      </c>
      <c r="AC221" s="344">
        <f t="shared" si="30"/>
        <v>8.7064908897000595E-2</v>
      </c>
      <c r="AD221" s="342">
        <v>25561.98</v>
      </c>
      <c r="AE221" s="342">
        <v>1766.87</v>
      </c>
      <c r="AF221" s="344">
        <f t="shared" si="31"/>
        <v>6.9121014882258733E-2</v>
      </c>
      <c r="AG221" s="342">
        <v>3935.08</v>
      </c>
      <c r="AH221" s="344">
        <f t="shared" si="32"/>
        <v>0.15394269145034931</v>
      </c>
      <c r="AI221" s="342">
        <v>2798.99</v>
      </c>
      <c r="AJ221" s="344">
        <f t="shared" si="33"/>
        <v>0.10949816876470445</v>
      </c>
      <c r="AK221" s="342">
        <v>14063.43</v>
      </c>
      <c r="AL221" s="784">
        <f t="shared" si="34"/>
        <v>0.55016982252548519</v>
      </c>
      <c r="AM221" s="350">
        <v>30.958253891246077</v>
      </c>
      <c r="AN221" s="350">
        <v>25.475006515502638</v>
      </c>
      <c r="AO221" s="350">
        <v>105.32818423221316</v>
      </c>
      <c r="AP221" s="639">
        <f t="shared" si="35"/>
        <v>4.8510372208175223E-2</v>
      </c>
    </row>
    <row r="222" spans="1:42" x14ac:dyDescent="0.2">
      <c r="A222" s="638">
        <v>42491</v>
      </c>
      <c r="B222" s="341" t="s">
        <v>135</v>
      </c>
      <c r="C222" s="351" t="s">
        <v>182</v>
      </c>
      <c r="D222" s="342">
        <v>0</v>
      </c>
      <c r="E222" s="342">
        <v>0</v>
      </c>
      <c r="F222" s="342">
        <v>0</v>
      </c>
      <c r="G222" s="342">
        <v>5</v>
      </c>
      <c r="H222" s="342">
        <v>0</v>
      </c>
      <c r="I222" s="342">
        <v>5</v>
      </c>
      <c r="J222" s="342">
        <v>101.48999786377</v>
      </c>
      <c r="K222" s="343">
        <v>-96.48999786377</v>
      </c>
      <c r="L222" s="342">
        <v>0</v>
      </c>
      <c r="M222" s="342">
        <v>6034.5599908828699</v>
      </c>
      <c r="N222" s="354">
        <v>0</v>
      </c>
      <c r="O222" s="343" t="s">
        <v>311</v>
      </c>
      <c r="P222" s="343" t="s">
        <v>311</v>
      </c>
      <c r="Q222" s="343" t="s">
        <v>311</v>
      </c>
      <c r="R222" s="344" t="s">
        <v>312</v>
      </c>
      <c r="S222" s="344">
        <v>-8.1485646452846255E-4</v>
      </c>
      <c r="T222" s="343">
        <v>752.6</v>
      </c>
      <c r="U222" s="342">
        <v>177.08</v>
      </c>
      <c r="V222" s="342">
        <v>177.08</v>
      </c>
      <c r="W222" s="344">
        <f t="shared" si="36"/>
        <v>1</v>
      </c>
      <c r="X222" s="342">
        <v>0</v>
      </c>
      <c r="Y222" s="344">
        <f t="shared" si="37"/>
        <v>0</v>
      </c>
      <c r="Z222" s="342">
        <v>0</v>
      </c>
      <c r="AA222" s="344">
        <f t="shared" si="29"/>
        <v>0</v>
      </c>
      <c r="AB222" s="342">
        <v>177.08</v>
      </c>
      <c r="AC222" s="344">
        <f t="shared" si="30"/>
        <v>1</v>
      </c>
      <c r="AD222" s="342">
        <v>575.52</v>
      </c>
      <c r="AE222" s="342">
        <v>0</v>
      </c>
      <c r="AF222" s="344">
        <f t="shared" si="31"/>
        <v>0</v>
      </c>
      <c r="AG222" s="342">
        <v>0</v>
      </c>
      <c r="AH222" s="344">
        <f t="shared" si="32"/>
        <v>0</v>
      </c>
      <c r="AI222" s="342">
        <v>0</v>
      </c>
      <c r="AJ222" s="344">
        <f t="shared" si="33"/>
        <v>0</v>
      </c>
      <c r="AK222" s="342">
        <v>575.52</v>
      </c>
      <c r="AL222" s="784">
        <f t="shared" si="34"/>
        <v>1</v>
      </c>
      <c r="AM222" s="350" t="s">
        <v>313</v>
      </c>
      <c r="AN222" s="350" t="s">
        <v>313</v>
      </c>
      <c r="AO222" s="350" t="s">
        <v>313</v>
      </c>
      <c r="AP222" s="639">
        <f t="shared" si="35"/>
        <v>-1.6818127256519624E-2</v>
      </c>
    </row>
    <row r="223" spans="1:42" x14ac:dyDescent="0.2">
      <c r="A223" s="638">
        <v>42491</v>
      </c>
      <c r="B223" s="341" t="s">
        <v>135</v>
      </c>
      <c r="C223" s="351" t="s">
        <v>183</v>
      </c>
      <c r="D223" s="342">
        <v>216669</v>
      </c>
      <c r="E223" s="342">
        <v>10919</v>
      </c>
      <c r="F223" s="342">
        <v>205750</v>
      </c>
      <c r="G223" s="342">
        <v>136602.670899808</v>
      </c>
      <c r="H223" s="342">
        <v>64170.510586202101</v>
      </c>
      <c r="I223" s="342">
        <v>72432.160313606306</v>
      </c>
      <c r="J223" s="342">
        <v>6407.0899944305402</v>
      </c>
      <c r="K223" s="343">
        <v>130195.58090537786</v>
      </c>
      <c r="L223" s="342">
        <v>70744.429287642197</v>
      </c>
      <c r="M223" s="342">
        <v>72458.340050101295</v>
      </c>
      <c r="N223" s="354">
        <v>1103</v>
      </c>
      <c r="O223" s="343">
        <v>196.43608340888485</v>
      </c>
      <c r="P223" s="343">
        <v>66.605830156170924</v>
      </c>
      <c r="Q223" s="343">
        <v>123.84648313672567</v>
      </c>
      <c r="R223" s="344">
        <v>0.63046707604598906</v>
      </c>
      <c r="S223" s="344">
        <v>2.0370477393449273</v>
      </c>
      <c r="T223" s="343">
        <v>170898.07</v>
      </c>
      <c r="U223" s="342">
        <v>136423.94</v>
      </c>
      <c r="V223" s="342">
        <v>21722.300000000003</v>
      </c>
      <c r="W223" s="344">
        <f t="shared" si="36"/>
        <v>0.15922645248333983</v>
      </c>
      <c r="X223" s="342">
        <v>2944.22</v>
      </c>
      <c r="Y223" s="344">
        <f t="shared" si="37"/>
        <v>2.1581402794846709E-2</v>
      </c>
      <c r="Z223" s="342">
        <v>3611.96</v>
      </c>
      <c r="AA223" s="344">
        <f t="shared" si="29"/>
        <v>2.6475998274203192E-2</v>
      </c>
      <c r="AB223" s="342">
        <v>7770.26</v>
      </c>
      <c r="AC223" s="344">
        <f t="shared" si="30"/>
        <v>5.6956718886729117E-2</v>
      </c>
      <c r="AD223" s="342">
        <v>34474.129999999997</v>
      </c>
      <c r="AE223" s="342">
        <v>5898.42</v>
      </c>
      <c r="AF223" s="344">
        <f t="shared" si="31"/>
        <v>0.17109699360070871</v>
      </c>
      <c r="AG223" s="342">
        <v>4807.0200000000004</v>
      </c>
      <c r="AH223" s="344">
        <f t="shared" si="32"/>
        <v>0.13943847168877072</v>
      </c>
      <c r="AI223" s="342">
        <v>4360.3999999999996</v>
      </c>
      <c r="AJ223" s="344">
        <f t="shared" si="33"/>
        <v>0.12648324990362339</v>
      </c>
      <c r="AK223" s="342">
        <v>17475.939999999999</v>
      </c>
      <c r="AL223" s="784">
        <f t="shared" si="34"/>
        <v>0.5069291088709128</v>
      </c>
      <c r="AM223" s="350">
        <v>24.54842940603762</v>
      </c>
      <c r="AN223" s="350">
        <v>20.76431644195447</v>
      </c>
      <c r="AO223" s="350">
        <v>88.044032349602716</v>
      </c>
      <c r="AP223" s="639">
        <f t="shared" si="35"/>
        <v>8.7211361419719607E-2</v>
      </c>
    </row>
    <row r="224" spans="1:42" x14ac:dyDescent="0.2">
      <c r="A224" s="638">
        <v>42491</v>
      </c>
      <c r="B224" s="341" t="s">
        <v>135</v>
      </c>
      <c r="C224" s="351" t="s">
        <v>184</v>
      </c>
      <c r="D224" s="342">
        <v>0</v>
      </c>
      <c r="E224" s="342">
        <v>0</v>
      </c>
      <c r="F224" s="342">
        <v>0</v>
      </c>
      <c r="G224" s="342">
        <v>297.790000915527</v>
      </c>
      <c r="H224" s="342">
        <v>0</v>
      </c>
      <c r="I224" s="342">
        <v>297.790000915527</v>
      </c>
      <c r="J224" s="342">
        <v>110.790000915527</v>
      </c>
      <c r="K224" s="343">
        <v>187</v>
      </c>
      <c r="L224" s="342">
        <v>0</v>
      </c>
      <c r="M224" s="342">
        <v>9023.4799674749393</v>
      </c>
      <c r="N224" s="354">
        <v>0</v>
      </c>
      <c r="O224" s="343" t="s">
        <v>311</v>
      </c>
      <c r="P224" s="343" t="s">
        <v>311</v>
      </c>
      <c r="Q224" s="343" t="s">
        <v>311</v>
      </c>
      <c r="R224" s="344" t="s">
        <v>312</v>
      </c>
      <c r="S224" s="344">
        <v>-3.2601401310235201E-2</v>
      </c>
      <c r="T224" s="343">
        <v>3141.31</v>
      </c>
      <c r="U224" s="342">
        <v>1521.12</v>
      </c>
      <c r="V224" s="342">
        <v>1521.12</v>
      </c>
      <c r="W224" s="344">
        <f t="shared" si="36"/>
        <v>1</v>
      </c>
      <c r="X224" s="342">
        <v>0</v>
      </c>
      <c r="Y224" s="344">
        <f t="shared" si="37"/>
        <v>0</v>
      </c>
      <c r="Z224" s="342">
        <v>0</v>
      </c>
      <c r="AA224" s="344">
        <f t="shared" si="29"/>
        <v>0</v>
      </c>
      <c r="AB224" s="342">
        <v>1521.12</v>
      </c>
      <c r="AC224" s="344">
        <f t="shared" si="30"/>
        <v>1</v>
      </c>
      <c r="AD224" s="342">
        <v>1620.19</v>
      </c>
      <c r="AE224" s="342">
        <v>0</v>
      </c>
      <c r="AF224" s="344">
        <f t="shared" si="31"/>
        <v>0</v>
      </c>
      <c r="AG224" s="342">
        <v>0</v>
      </c>
      <c r="AH224" s="344">
        <f t="shared" si="32"/>
        <v>0</v>
      </c>
      <c r="AI224" s="342">
        <v>0</v>
      </c>
      <c r="AJ224" s="344">
        <f t="shared" si="33"/>
        <v>0</v>
      </c>
      <c r="AK224" s="342">
        <v>1620.19</v>
      </c>
      <c r="AL224" s="784">
        <f t="shared" si="34"/>
        <v>1</v>
      </c>
      <c r="AM224" s="350" t="s">
        <v>313</v>
      </c>
      <c r="AN224" s="350" t="s">
        <v>313</v>
      </c>
      <c r="AO224" s="350" t="s">
        <v>313</v>
      </c>
      <c r="AP224" s="639">
        <f t="shared" si="35"/>
        <v>-1.2277968291043884E-2</v>
      </c>
    </row>
    <row r="225" spans="1:42" x14ac:dyDescent="0.2">
      <c r="A225" s="638">
        <v>42491</v>
      </c>
      <c r="B225" s="341" t="s">
        <v>135</v>
      </c>
      <c r="C225" s="351" t="s">
        <v>185</v>
      </c>
      <c r="D225" s="342">
        <v>140562</v>
      </c>
      <c r="E225" s="342">
        <v>6411</v>
      </c>
      <c r="F225" s="342">
        <v>134151</v>
      </c>
      <c r="G225" s="342">
        <v>77773.110478222399</v>
      </c>
      <c r="H225" s="342">
        <v>39557.6902694702</v>
      </c>
      <c r="I225" s="342">
        <v>38215.420208752199</v>
      </c>
      <c r="J225" s="342">
        <v>3482.4400062560999</v>
      </c>
      <c r="K225" s="343">
        <v>74290.670471966296</v>
      </c>
      <c r="L225" s="342">
        <v>46513.439599990801</v>
      </c>
      <c r="M225" s="342">
        <v>52045.669966269299</v>
      </c>
      <c r="N225" s="354">
        <v>729</v>
      </c>
      <c r="O225" s="343">
        <v>192.81481481481481</v>
      </c>
      <c r="P225" s="343">
        <v>57.617133653964196</v>
      </c>
      <c r="Q225" s="343">
        <v>106.68465086175912</v>
      </c>
      <c r="R225" s="344">
        <v>0.55330110896417528</v>
      </c>
      <c r="S225" s="344">
        <v>2.019008334926748</v>
      </c>
      <c r="T225" s="343">
        <v>118284.76999999999</v>
      </c>
      <c r="U225" s="342">
        <v>93593.09</v>
      </c>
      <c r="V225" s="342">
        <v>17517.080000000002</v>
      </c>
      <c r="W225" s="344">
        <f t="shared" si="36"/>
        <v>0.18716210780090711</v>
      </c>
      <c r="X225" s="342">
        <v>3256.14</v>
      </c>
      <c r="Y225" s="344">
        <f t="shared" si="37"/>
        <v>3.4790388905847645E-2</v>
      </c>
      <c r="Z225" s="342">
        <v>1712.93</v>
      </c>
      <c r="AA225" s="344">
        <f t="shared" si="29"/>
        <v>1.8301885320807339E-2</v>
      </c>
      <c r="AB225" s="342">
        <v>8585.5</v>
      </c>
      <c r="AC225" s="344">
        <f t="shared" si="30"/>
        <v>9.1732199460451622E-2</v>
      </c>
      <c r="AD225" s="342">
        <v>24691.68</v>
      </c>
      <c r="AE225" s="342">
        <v>4255.29</v>
      </c>
      <c r="AF225" s="344">
        <f t="shared" si="31"/>
        <v>0.17233699772554967</v>
      </c>
      <c r="AG225" s="342">
        <v>2599.36</v>
      </c>
      <c r="AH225" s="344">
        <f t="shared" si="32"/>
        <v>0.10527270724389755</v>
      </c>
      <c r="AI225" s="342">
        <v>4374.75</v>
      </c>
      <c r="AJ225" s="344">
        <f t="shared" si="33"/>
        <v>0.17717506463715713</v>
      </c>
      <c r="AK225" s="342">
        <v>8270.73</v>
      </c>
      <c r="AL225" s="784">
        <f t="shared" si="34"/>
        <v>0.33496019711902952</v>
      </c>
      <c r="AM225" s="350">
        <v>27.298833784344549</v>
      </c>
      <c r="AN225" s="350">
        <v>22.656312867450524</v>
      </c>
      <c r="AO225" s="350">
        <v>122.25621389668262</v>
      </c>
      <c r="AP225" s="639">
        <f t="shared" si="35"/>
        <v>8.29095324225292E-2</v>
      </c>
    </row>
    <row r="226" spans="1:42" x14ac:dyDescent="0.2">
      <c r="A226" s="638">
        <v>42491</v>
      </c>
      <c r="B226" s="341" t="s">
        <v>135</v>
      </c>
      <c r="C226" s="351" t="s">
        <v>179</v>
      </c>
      <c r="D226" s="342">
        <v>104301.02999877901</v>
      </c>
      <c r="E226" s="342">
        <v>7527</v>
      </c>
      <c r="F226" s="342">
        <v>96774.029998779297</v>
      </c>
      <c r="G226" s="342">
        <v>59709.070362091101</v>
      </c>
      <c r="H226" s="342">
        <v>29690.150233268701</v>
      </c>
      <c r="I226" s="342">
        <v>30018.920128822301</v>
      </c>
      <c r="J226" s="342">
        <v>2436.2700014114398</v>
      </c>
      <c r="K226" s="343">
        <v>57272.800360679568</v>
      </c>
      <c r="L226" s="342">
        <v>30526.309741973899</v>
      </c>
      <c r="M226" s="342">
        <v>8936.38001056947</v>
      </c>
      <c r="N226" s="354">
        <v>520</v>
      </c>
      <c r="O226" s="343">
        <v>200.57890384380633</v>
      </c>
      <c r="P226" s="343">
        <v>124.68911585814601</v>
      </c>
      <c r="Q226" s="343">
        <v>114.82513531171347</v>
      </c>
      <c r="R226" s="344">
        <v>0.57246865503427746</v>
      </c>
      <c r="S226" s="344">
        <v>0.95684438237116287</v>
      </c>
      <c r="T226" s="343">
        <v>88087.97</v>
      </c>
      <c r="U226" s="342">
        <v>68605.13</v>
      </c>
      <c r="V226" s="342">
        <v>8072.0300000000007</v>
      </c>
      <c r="W226" s="344">
        <f t="shared" si="36"/>
        <v>0.11765927708321521</v>
      </c>
      <c r="X226" s="342">
        <v>860.5</v>
      </c>
      <c r="Y226" s="344">
        <f t="shared" si="37"/>
        <v>1.2542793811483193E-2</v>
      </c>
      <c r="Z226" s="342">
        <v>1241</v>
      </c>
      <c r="AA226" s="344">
        <f t="shared" si="29"/>
        <v>1.8089026287101271E-2</v>
      </c>
      <c r="AB226" s="342">
        <v>3603.17</v>
      </c>
      <c r="AC226" s="344">
        <f t="shared" si="30"/>
        <v>5.2520416476143986E-2</v>
      </c>
      <c r="AD226" s="342">
        <v>19482.84</v>
      </c>
      <c r="AE226" s="342">
        <v>1584.09</v>
      </c>
      <c r="AF226" s="344">
        <f t="shared" si="31"/>
        <v>8.1306934717936388E-2</v>
      </c>
      <c r="AG226" s="342">
        <v>1701</v>
      </c>
      <c r="AH226" s="344">
        <f t="shared" si="32"/>
        <v>8.7307599918697687E-2</v>
      </c>
      <c r="AI226" s="342">
        <v>572.45000000000005</v>
      </c>
      <c r="AJ226" s="344">
        <f t="shared" si="33"/>
        <v>2.9382266651063194E-2</v>
      </c>
      <c r="AK226" s="342">
        <v>11055.93</v>
      </c>
      <c r="AL226" s="784">
        <f t="shared" si="34"/>
        <v>0.56747014295657106</v>
      </c>
      <c r="AM226" s="350">
        <v>27.554036260188887</v>
      </c>
      <c r="AN226" s="350">
        <v>23.30411704732289</v>
      </c>
      <c r="AO226" s="350">
        <v>77.00389091388169</v>
      </c>
      <c r="AP226" s="639">
        <f t="shared" si="35"/>
        <v>3.7574527542797241E-2</v>
      </c>
    </row>
    <row r="227" spans="1:42" x14ac:dyDescent="0.2">
      <c r="A227" s="638">
        <v>42491</v>
      </c>
      <c r="B227" s="341" t="s">
        <v>135</v>
      </c>
      <c r="C227" s="351" t="s">
        <v>186</v>
      </c>
      <c r="D227" s="342">
        <v>94395</v>
      </c>
      <c r="E227" s="342">
        <v>7254</v>
      </c>
      <c r="F227" s="342">
        <v>87141</v>
      </c>
      <c r="G227" s="342">
        <v>53427.730308413498</v>
      </c>
      <c r="H227" s="342">
        <v>26113.5901697874</v>
      </c>
      <c r="I227" s="342">
        <v>27314.140138626099</v>
      </c>
      <c r="J227" s="342">
        <v>1394.3199877739</v>
      </c>
      <c r="K227" s="343">
        <v>52033.410320639596</v>
      </c>
      <c r="L227" s="342">
        <v>28954.139810562101</v>
      </c>
      <c r="M227" s="342">
        <v>99.090000152587905</v>
      </c>
      <c r="N227" s="354">
        <v>480</v>
      </c>
      <c r="O227" s="343">
        <v>196.65625</v>
      </c>
      <c r="P227" s="343">
        <v>136.12868789434438</v>
      </c>
      <c r="Q227" s="343">
        <v>111.30777147586146</v>
      </c>
      <c r="R227" s="344">
        <v>0.56600169827229729</v>
      </c>
      <c r="S227" s="344">
        <v>0.83549430258832635</v>
      </c>
      <c r="T227" s="343">
        <v>58289.1</v>
      </c>
      <c r="U227" s="342">
        <v>53084.43</v>
      </c>
      <c r="V227" s="342">
        <v>4494.3099999999995</v>
      </c>
      <c r="W227" s="344">
        <f t="shared" si="36"/>
        <v>8.4663431443080375E-2</v>
      </c>
      <c r="X227" s="342">
        <v>1816.19</v>
      </c>
      <c r="Y227" s="344">
        <f t="shared" si="37"/>
        <v>3.4213233522522521E-2</v>
      </c>
      <c r="Z227" s="342">
        <v>134</v>
      </c>
      <c r="AA227" s="344">
        <f t="shared" si="29"/>
        <v>2.5242806600730195E-3</v>
      </c>
      <c r="AB227" s="342">
        <v>0</v>
      </c>
      <c r="AC227" s="344">
        <f t="shared" si="30"/>
        <v>0</v>
      </c>
      <c r="AD227" s="342">
        <v>5204.67</v>
      </c>
      <c r="AE227" s="342">
        <v>1769.09</v>
      </c>
      <c r="AF227" s="344">
        <f t="shared" si="31"/>
        <v>0.33990435512722228</v>
      </c>
      <c r="AG227" s="342">
        <v>1369.51</v>
      </c>
      <c r="AH227" s="344">
        <f t="shared" si="32"/>
        <v>0.26313099581721799</v>
      </c>
      <c r="AI227" s="342">
        <v>828.69</v>
      </c>
      <c r="AJ227" s="344">
        <f t="shared" si="33"/>
        <v>0.1592204693092934</v>
      </c>
      <c r="AK227" s="342">
        <v>0</v>
      </c>
      <c r="AL227" s="784">
        <f t="shared" si="34"/>
        <v>0</v>
      </c>
      <c r="AM227" s="350">
        <v>21.971513612761033</v>
      </c>
      <c r="AN227" s="350">
        <v>21.762893718600345</v>
      </c>
      <c r="AO227" s="350">
        <v>24.352498050428906</v>
      </c>
      <c r="AP227" s="639">
        <f t="shared" si="35"/>
        <v>2.1338876858321473E-2</v>
      </c>
    </row>
    <row r="228" spans="1:42" x14ac:dyDescent="0.2">
      <c r="A228" s="638">
        <v>42491</v>
      </c>
      <c r="B228" s="341" t="s">
        <v>135</v>
      </c>
      <c r="C228" s="351" t="s">
        <v>187</v>
      </c>
      <c r="D228" s="342">
        <v>102932.659999847</v>
      </c>
      <c r="E228" s="342">
        <v>4977</v>
      </c>
      <c r="F228" s="342">
        <v>97955.659999847398</v>
      </c>
      <c r="G228" s="342">
        <v>61021.090384360403</v>
      </c>
      <c r="H228" s="342">
        <v>29837.540247496199</v>
      </c>
      <c r="I228" s="342">
        <v>31183.5501368642</v>
      </c>
      <c r="J228" s="342">
        <v>2287.7099974453399</v>
      </c>
      <c r="K228" s="343">
        <v>58733.380386915065</v>
      </c>
      <c r="L228" s="342">
        <v>33214.749724093803</v>
      </c>
      <c r="M228" s="342">
        <v>808.78999829292297</v>
      </c>
      <c r="N228" s="354">
        <v>517</v>
      </c>
      <c r="O228" s="343">
        <v>199.09605415831217</v>
      </c>
      <c r="P228" s="343">
        <v>133.28649956955641</v>
      </c>
      <c r="Q228" s="343">
        <v>118.02918836433346</v>
      </c>
      <c r="R228" s="344">
        <v>0.5928253518800628</v>
      </c>
      <c r="S228" s="344">
        <v>0.91593813652223355</v>
      </c>
      <c r="T228" s="343">
        <v>70507.97</v>
      </c>
      <c r="U228" s="342">
        <v>59332.66</v>
      </c>
      <c r="V228" s="342">
        <v>7207.24</v>
      </c>
      <c r="W228" s="344">
        <f t="shared" si="36"/>
        <v>0.12147171557789588</v>
      </c>
      <c r="X228" s="342">
        <v>1679.87</v>
      </c>
      <c r="Y228" s="344">
        <f t="shared" si="37"/>
        <v>2.8312737032184294E-2</v>
      </c>
      <c r="Z228" s="342">
        <v>1149.24</v>
      </c>
      <c r="AA228" s="344">
        <f t="shared" si="29"/>
        <v>1.9369433293568838E-2</v>
      </c>
      <c r="AB228" s="342">
        <v>2226.39</v>
      </c>
      <c r="AC228" s="344">
        <f t="shared" si="30"/>
        <v>3.7523852798778949E-2</v>
      </c>
      <c r="AD228" s="342">
        <v>11175.31</v>
      </c>
      <c r="AE228" s="342">
        <v>1120.6099999999999</v>
      </c>
      <c r="AF228" s="344">
        <f t="shared" si="31"/>
        <v>0.1002755180840621</v>
      </c>
      <c r="AG228" s="342">
        <v>2169.21</v>
      </c>
      <c r="AH228" s="344">
        <f t="shared" si="32"/>
        <v>0.19410736704395673</v>
      </c>
      <c r="AI228" s="342">
        <v>1300.6199999999999</v>
      </c>
      <c r="AJ228" s="344">
        <f t="shared" si="33"/>
        <v>0.11638334864983611</v>
      </c>
      <c r="AK228" s="342">
        <v>5193.72</v>
      </c>
      <c r="AL228" s="784">
        <f t="shared" si="34"/>
        <v>0.46474952372685863</v>
      </c>
      <c r="AM228" s="350">
        <v>23.487807153046628</v>
      </c>
      <c r="AN228" s="350">
        <v>20.984331128656319</v>
      </c>
      <c r="AO228" s="350">
        <v>64.070448464772582</v>
      </c>
      <c r="AP228" s="639">
        <f t="shared" si="35"/>
        <v>3.3198943597508593E-2</v>
      </c>
    </row>
    <row r="229" spans="1:42" x14ac:dyDescent="0.2">
      <c r="A229" s="638">
        <v>42491</v>
      </c>
      <c r="B229" s="341" t="s">
        <v>135</v>
      </c>
      <c r="C229" s="351" t="s">
        <v>188</v>
      </c>
      <c r="D229" s="342">
        <v>121471.07000305101</v>
      </c>
      <c r="E229" s="342">
        <v>6033</v>
      </c>
      <c r="F229" s="342">
        <v>115438.07000305101</v>
      </c>
      <c r="G229" s="342">
        <v>73367.570467719794</v>
      </c>
      <c r="H229" s="342">
        <v>38570.500299930602</v>
      </c>
      <c r="I229" s="342">
        <v>34797.070167789199</v>
      </c>
      <c r="J229" s="342">
        <v>2529.8299999237101</v>
      </c>
      <c r="K229" s="343">
        <v>70837.740467796102</v>
      </c>
      <c r="L229" s="342">
        <v>39899.709648609198</v>
      </c>
      <c r="M229" s="342">
        <v>6458.9900068491697</v>
      </c>
      <c r="N229" s="354">
        <v>687</v>
      </c>
      <c r="O229" s="343">
        <v>176.81378457503786</v>
      </c>
      <c r="P229" s="343">
        <v>109.33387241279858</v>
      </c>
      <c r="Q229" s="343">
        <v>106.79413459638982</v>
      </c>
      <c r="R229" s="344">
        <v>0.60399213134351271</v>
      </c>
      <c r="S229" s="344">
        <v>1.0108156881295502</v>
      </c>
      <c r="T229" s="343">
        <v>100039.41</v>
      </c>
      <c r="U229" s="342">
        <v>77333.119999999995</v>
      </c>
      <c r="V229" s="342">
        <v>10338.64</v>
      </c>
      <c r="W229" s="344">
        <f t="shared" si="36"/>
        <v>0.13368967914394247</v>
      </c>
      <c r="X229" s="342">
        <v>2194.81</v>
      </c>
      <c r="Y229" s="344">
        <f t="shared" si="37"/>
        <v>2.8381242086185067E-2</v>
      </c>
      <c r="Z229" s="342">
        <v>809</v>
      </c>
      <c r="AA229" s="344">
        <f t="shared" si="29"/>
        <v>1.0461235755133119E-2</v>
      </c>
      <c r="AB229" s="342">
        <v>3728.1</v>
      </c>
      <c r="AC229" s="344">
        <f t="shared" si="30"/>
        <v>4.8208322643648674E-2</v>
      </c>
      <c r="AD229" s="342">
        <v>22706.29</v>
      </c>
      <c r="AE229" s="342">
        <v>3076.84</v>
      </c>
      <c r="AF229" s="344">
        <f t="shared" si="31"/>
        <v>0.13550606461909895</v>
      </c>
      <c r="AG229" s="342">
        <v>2578.67</v>
      </c>
      <c r="AH229" s="344">
        <f t="shared" si="32"/>
        <v>0.11356632897756525</v>
      </c>
      <c r="AI229" s="342">
        <v>1540.99</v>
      </c>
      <c r="AJ229" s="344">
        <f t="shared" si="33"/>
        <v>6.7866216806003979E-2</v>
      </c>
      <c r="AK229" s="342">
        <v>11989.83</v>
      </c>
      <c r="AL229" s="784">
        <f t="shared" si="34"/>
        <v>0.52804002767515079</v>
      </c>
      <c r="AM229" s="350">
        <v>26.669939951162377</v>
      </c>
      <c r="AN229" s="350">
        <v>21.892820069219891</v>
      </c>
      <c r="AO229" s="350">
        <v>103.83974085365854</v>
      </c>
      <c r="AP229" s="639">
        <f t="shared" si="35"/>
        <v>3.3680603983293034E-2</v>
      </c>
    </row>
    <row r="230" spans="1:42" x14ac:dyDescent="0.2">
      <c r="A230" s="638">
        <v>42491</v>
      </c>
      <c r="B230" s="341" t="s">
        <v>136</v>
      </c>
      <c r="C230" s="351" t="s">
        <v>189</v>
      </c>
      <c r="D230" s="342">
        <v>109801.640000343</v>
      </c>
      <c r="E230" s="342">
        <v>5131</v>
      </c>
      <c r="F230" s="342">
        <v>104670.640000343</v>
      </c>
      <c r="G230" s="342">
        <v>60867.390100956</v>
      </c>
      <c r="H230" s="342">
        <v>26044.690041542101</v>
      </c>
      <c r="I230" s="342">
        <v>34822.700059413903</v>
      </c>
      <c r="J230" s="342">
        <v>2157.6300067901602</v>
      </c>
      <c r="K230" s="343">
        <v>58709.760094165846</v>
      </c>
      <c r="L230" s="342">
        <v>29732.190017700199</v>
      </c>
      <c r="M230" s="342">
        <v>3038.11000537872</v>
      </c>
      <c r="N230" s="354">
        <v>527</v>
      </c>
      <c r="O230" s="343">
        <v>208.35225806516698</v>
      </c>
      <c r="P230" s="343">
        <v>146.16952557355614</v>
      </c>
      <c r="Q230" s="343">
        <v>115.49789392970779</v>
      </c>
      <c r="R230" s="344">
        <v>0.55433953537274916</v>
      </c>
      <c r="S230" s="344">
        <v>0.81293407425595399</v>
      </c>
      <c r="T230" s="343">
        <v>93363.040000000008</v>
      </c>
      <c r="U230" s="342">
        <v>73498.850000000006</v>
      </c>
      <c r="V230" s="342">
        <v>8433.39</v>
      </c>
      <c r="W230" s="344">
        <f t="shared" si="36"/>
        <v>0.11474179527979007</v>
      </c>
      <c r="X230" s="342">
        <v>2222.06</v>
      </c>
      <c r="Y230" s="344">
        <f t="shared" si="37"/>
        <v>3.0232581870328581E-2</v>
      </c>
      <c r="Z230" s="342">
        <v>889.44</v>
      </c>
      <c r="AA230" s="344">
        <f t="shared" si="29"/>
        <v>1.2101413831644984E-2</v>
      </c>
      <c r="AB230" s="342">
        <v>2040.22</v>
      </c>
      <c r="AC230" s="344">
        <f t="shared" si="30"/>
        <v>2.7758529555224332E-2</v>
      </c>
      <c r="AD230" s="342">
        <v>19864.189999999999</v>
      </c>
      <c r="AE230" s="342">
        <v>2170.04</v>
      </c>
      <c r="AF230" s="344">
        <f t="shared" si="31"/>
        <v>0.10924382016080193</v>
      </c>
      <c r="AG230" s="342">
        <v>2101.6799999999998</v>
      </c>
      <c r="AH230" s="344">
        <f t="shared" si="32"/>
        <v>0.10580245154723147</v>
      </c>
      <c r="AI230" s="342">
        <v>2023.23</v>
      </c>
      <c r="AJ230" s="344">
        <f t="shared" si="33"/>
        <v>0.10185313370441987</v>
      </c>
      <c r="AK230" s="342">
        <v>10603.67</v>
      </c>
      <c r="AL230" s="784">
        <f t="shared" si="34"/>
        <v>0.5338083254338587</v>
      </c>
      <c r="AM230" s="350">
        <v>27.66119054976382</v>
      </c>
      <c r="AN230" s="350">
        <v>22.82980892846286</v>
      </c>
      <c r="AO230" s="350">
        <v>127.48891820580474</v>
      </c>
      <c r="AP230" s="639">
        <f t="shared" si="35"/>
        <v>2.8009768588044659E-2</v>
      </c>
    </row>
    <row r="231" spans="1:42" x14ac:dyDescent="0.2">
      <c r="A231" s="638">
        <v>42491</v>
      </c>
      <c r="B231" s="341" t="s">
        <v>136</v>
      </c>
      <c r="C231" s="351" t="s">
        <v>190</v>
      </c>
      <c r="D231" s="342">
        <v>208134.03000787599</v>
      </c>
      <c r="E231" s="342">
        <v>9491</v>
      </c>
      <c r="F231" s="342">
        <v>198643.03000787599</v>
      </c>
      <c r="G231" s="342">
        <v>118224.29001614499</v>
      </c>
      <c r="H231" s="342">
        <v>53334.129920333602</v>
      </c>
      <c r="I231" s="342">
        <v>64890.160095810897</v>
      </c>
      <c r="J231" s="342">
        <v>3651.29998719692</v>
      </c>
      <c r="K231" s="343">
        <v>114572.99002894758</v>
      </c>
      <c r="L231" s="342">
        <v>51761.990114212</v>
      </c>
      <c r="M231" s="342">
        <v>24492.829995261502</v>
      </c>
      <c r="N231" s="354">
        <v>899</v>
      </c>
      <c r="O231" s="343">
        <v>231.51727475848276</v>
      </c>
      <c r="P231" s="343">
        <v>146.69545038754447</v>
      </c>
      <c r="Q231" s="343">
        <v>131.50644050739098</v>
      </c>
      <c r="R231" s="344">
        <v>0.56801999178928486</v>
      </c>
      <c r="S231" s="344">
        <v>0.92198562776240911</v>
      </c>
      <c r="T231" s="343">
        <v>170770.28999999998</v>
      </c>
      <c r="U231" s="342">
        <v>129804.9</v>
      </c>
      <c r="V231" s="342">
        <v>12761.37</v>
      </c>
      <c r="W231" s="344">
        <f t="shared" si="36"/>
        <v>9.8311928132142942E-2</v>
      </c>
      <c r="X231" s="342">
        <v>2984.53</v>
      </c>
      <c r="Y231" s="344">
        <f t="shared" si="37"/>
        <v>2.2992429407518517E-2</v>
      </c>
      <c r="Z231" s="342">
        <v>1254.76</v>
      </c>
      <c r="AA231" s="344">
        <f t="shared" si="29"/>
        <v>9.6665071965696212E-3</v>
      </c>
      <c r="AB231" s="342">
        <v>2881.23</v>
      </c>
      <c r="AC231" s="344">
        <f t="shared" si="30"/>
        <v>2.2196619696174799E-2</v>
      </c>
      <c r="AD231" s="342">
        <v>40965.39</v>
      </c>
      <c r="AE231" s="342">
        <v>3311.11</v>
      </c>
      <c r="AF231" s="344">
        <f t="shared" si="31"/>
        <v>8.0827010312851902E-2</v>
      </c>
      <c r="AG231" s="342">
        <v>5080.93</v>
      </c>
      <c r="AH231" s="344">
        <f t="shared" si="32"/>
        <v>0.12402982127107787</v>
      </c>
      <c r="AI231" s="342">
        <v>4612.62</v>
      </c>
      <c r="AJ231" s="344">
        <f t="shared" si="33"/>
        <v>0.11259797599876384</v>
      </c>
      <c r="AK231" s="342">
        <v>22926.53</v>
      </c>
      <c r="AL231" s="784">
        <f t="shared" si="34"/>
        <v>0.55965609017758644</v>
      </c>
      <c r="AM231" s="350">
        <v>28.494672782094948</v>
      </c>
      <c r="AN231" s="350">
        <v>22.908749552426485</v>
      </c>
      <c r="AO231" s="350">
        <v>125.31900407885792</v>
      </c>
      <c r="AP231" s="639">
        <f t="shared" si="35"/>
        <v>2.7686698987731424E-2</v>
      </c>
    </row>
    <row r="232" spans="1:42" x14ac:dyDescent="0.2">
      <c r="A232" s="638">
        <v>42491</v>
      </c>
      <c r="B232" s="341" t="s">
        <v>136</v>
      </c>
      <c r="C232" s="351" t="s">
        <v>191</v>
      </c>
      <c r="D232" s="342">
        <v>203511.86000663601</v>
      </c>
      <c r="E232" s="342">
        <v>6910</v>
      </c>
      <c r="F232" s="342">
        <v>196601.86000663601</v>
      </c>
      <c r="G232" s="342">
        <v>94140.250166416197</v>
      </c>
      <c r="H232" s="342">
        <v>43661.470025539398</v>
      </c>
      <c r="I232" s="342">
        <v>50478.780140876799</v>
      </c>
      <c r="J232" s="342">
        <v>1880.6100028753301</v>
      </c>
      <c r="K232" s="343">
        <v>92259.640163540869</v>
      </c>
      <c r="L232" s="342">
        <v>46399.8800985813</v>
      </c>
      <c r="M232" s="342">
        <v>1102.2799816131601</v>
      </c>
      <c r="N232" s="354">
        <v>798</v>
      </c>
      <c r="O232" s="343">
        <v>255.02739349202508</v>
      </c>
      <c r="P232" s="343">
        <v>195.50087710080393</v>
      </c>
      <c r="Q232" s="343">
        <v>117.97023830377969</v>
      </c>
      <c r="R232" s="344">
        <v>0.46257869277665942</v>
      </c>
      <c r="S232" s="344">
        <v>0.61078833472059735</v>
      </c>
      <c r="T232" s="343">
        <v>169882.09</v>
      </c>
      <c r="U232" s="342">
        <v>144294.10999999999</v>
      </c>
      <c r="V232" s="342">
        <v>9470.67</v>
      </c>
      <c r="W232" s="344">
        <f t="shared" si="36"/>
        <v>6.5634487783319789E-2</v>
      </c>
      <c r="X232" s="342">
        <v>1331.04</v>
      </c>
      <c r="Y232" s="344">
        <f t="shared" si="37"/>
        <v>9.2244929470787131E-3</v>
      </c>
      <c r="Z232" s="342">
        <v>925.02</v>
      </c>
      <c r="AA232" s="344">
        <f t="shared" si="29"/>
        <v>6.4106566789178029E-3</v>
      </c>
      <c r="AB232" s="342">
        <v>2260.9699999999998</v>
      </c>
      <c r="AC232" s="344">
        <f t="shared" si="30"/>
        <v>1.5669177348957626E-2</v>
      </c>
      <c r="AD232" s="342">
        <v>25587.98</v>
      </c>
      <c r="AE232" s="342">
        <v>3729.75</v>
      </c>
      <c r="AF232" s="344">
        <f t="shared" si="31"/>
        <v>0.14576179909473119</v>
      </c>
      <c r="AG232" s="342">
        <v>5034.83</v>
      </c>
      <c r="AH232" s="344">
        <f t="shared" si="32"/>
        <v>0.19676543439536845</v>
      </c>
      <c r="AI232" s="342">
        <v>2333.17</v>
      </c>
      <c r="AJ232" s="344">
        <f t="shared" si="33"/>
        <v>9.1182266048355526E-2</v>
      </c>
      <c r="AK232" s="342">
        <v>8620.9699999999993</v>
      </c>
      <c r="AL232" s="784">
        <f t="shared" si="34"/>
        <v>0.33691483266752592</v>
      </c>
      <c r="AM232" s="350">
        <v>30.136635590974183</v>
      </c>
      <c r="AN232" s="350">
        <v>26.711699942123015</v>
      </c>
      <c r="AO232" s="350">
        <v>108.81299376299376</v>
      </c>
      <c r="AP232" s="639">
        <f t="shared" si="35"/>
        <v>1.2054442792736838E-2</v>
      </c>
    </row>
    <row r="233" spans="1:42" x14ac:dyDescent="0.2">
      <c r="A233" s="638">
        <v>42491</v>
      </c>
      <c r="B233" s="341" t="s">
        <v>136</v>
      </c>
      <c r="C233" s="351" t="s">
        <v>192</v>
      </c>
      <c r="D233" s="342">
        <v>238768.690011328</v>
      </c>
      <c r="E233" s="342">
        <v>14975</v>
      </c>
      <c r="F233" s="342">
        <v>223793.690011328</v>
      </c>
      <c r="G233" s="342">
        <v>139255.480208397</v>
      </c>
      <c r="H233" s="342">
        <v>68672.909989356995</v>
      </c>
      <c r="I233" s="342">
        <v>70582.570219039902</v>
      </c>
      <c r="J233" s="342">
        <v>2931.5199961662302</v>
      </c>
      <c r="K233" s="343">
        <v>136323.96021223068</v>
      </c>
      <c r="L233" s="342">
        <v>62609.500130176501</v>
      </c>
      <c r="M233" s="342">
        <v>1533.87998580933</v>
      </c>
      <c r="N233" s="354">
        <v>1594</v>
      </c>
      <c r="O233" s="343">
        <v>149.79215182642912</v>
      </c>
      <c r="P233" s="343">
        <v>109.55163732455593</v>
      </c>
      <c r="Q233" s="343">
        <v>87.362283694100952</v>
      </c>
      <c r="R233" s="344">
        <v>0.58322337070991237</v>
      </c>
      <c r="S233" s="344">
        <v>0.81106882368996669</v>
      </c>
      <c r="T233" s="343">
        <v>218744.12</v>
      </c>
      <c r="U233" s="342">
        <v>165787.37</v>
      </c>
      <c r="V233" s="342">
        <v>12791.14</v>
      </c>
      <c r="W233" s="344">
        <f t="shared" si="36"/>
        <v>7.7153886933606586E-2</v>
      </c>
      <c r="X233" s="342">
        <v>1899.13</v>
      </c>
      <c r="Y233" s="344">
        <f t="shared" si="37"/>
        <v>1.1455215195222654E-2</v>
      </c>
      <c r="Z233" s="342">
        <v>1550.59</v>
      </c>
      <c r="AA233" s="344">
        <f t="shared" si="29"/>
        <v>9.3528837570678626E-3</v>
      </c>
      <c r="AB233" s="342">
        <v>5101.78</v>
      </c>
      <c r="AC233" s="344">
        <f t="shared" si="30"/>
        <v>3.0773031745421862E-2</v>
      </c>
      <c r="AD233" s="342">
        <v>52956.75</v>
      </c>
      <c r="AE233" s="342">
        <v>6477.27</v>
      </c>
      <c r="AF233" s="344">
        <f t="shared" si="31"/>
        <v>0.122312453086717</v>
      </c>
      <c r="AG233" s="342">
        <v>6806.9</v>
      </c>
      <c r="AH233" s="344">
        <f t="shared" si="32"/>
        <v>0.12853696648680291</v>
      </c>
      <c r="AI233" s="342">
        <v>4222.38</v>
      </c>
      <c r="AJ233" s="344">
        <f t="shared" si="33"/>
        <v>7.9732611989972946E-2</v>
      </c>
      <c r="AK233" s="342">
        <v>23314.53</v>
      </c>
      <c r="AL233" s="784">
        <f t="shared" si="34"/>
        <v>0.44025605800960216</v>
      </c>
      <c r="AM233" s="350">
        <v>30.231208508064288</v>
      </c>
      <c r="AN233" s="350">
        <v>24.275401740855191</v>
      </c>
      <c r="AO233" s="350">
        <v>130.34972924187724</v>
      </c>
      <c r="AP233" s="639">
        <f t="shared" si="35"/>
        <v>1.6787486292354596E-2</v>
      </c>
    </row>
    <row r="234" spans="1:42" x14ac:dyDescent="0.2">
      <c r="A234" s="638">
        <v>42491</v>
      </c>
      <c r="B234" s="341" t="s">
        <v>136</v>
      </c>
      <c r="C234" s="351" t="s">
        <v>193</v>
      </c>
      <c r="D234" s="342">
        <v>47914.810001373298</v>
      </c>
      <c r="E234" s="342">
        <v>1382</v>
      </c>
      <c r="F234" s="342">
        <v>46532.810001373298</v>
      </c>
      <c r="G234" s="342">
        <v>19319.9900302887</v>
      </c>
      <c r="H234" s="342">
        <v>9316.1399726867694</v>
      </c>
      <c r="I234" s="342">
        <v>10003.8500576019</v>
      </c>
      <c r="J234" s="342">
        <v>0</v>
      </c>
      <c r="K234" s="343">
        <v>19319.990030288667</v>
      </c>
      <c r="L234" s="342">
        <v>14412.060081481901</v>
      </c>
      <c r="M234" s="342">
        <v>239</v>
      </c>
      <c r="N234" s="354">
        <v>178</v>
      </c>
      <c r="O234" s="343">
        <v>269.18432585041177</v>
      </c>
      <c r="P234" s="343">
        <v>186.8749995499517</v>
      </c>
      <c r="Q234" s="343">
        <v>108.5392698330824</v>
      </c>
      <c r="R234" s="344">
        <v>0.40321541564570396</v>
      </c>
      <c r="S234" s="344">
        <v>0.58081214766274747</v>
      </c>
      <c r="T234" s="343">
        <v>28994.489999999998</v>
      </c>
      <c r="U234" s="342">
        <v>27851.89</v>
      </c>
      <c r="V234" s="342">
        <v>0</v>
      </c>
      <c r="W234" s="344">
        <f t="shared" si="36"/>
        <v>0</v>
      </c>
      <c r="X234" s="342">
        <v>0</v>
      </c>
      <c r="Y234" s="344">
        <f t="shared" si="37"/>
        <v>0</v>
      </c>
      <c r="Z234" s="342">
        <v>0</v>
      </c>
      <c r="AA234" s="344">
        <f t="shared" si="29"/>
        <v>0</v>
      </c>
      <c r="AB234" s="342">
        <v>0</v>
      </c>
      <c r="AC234" s="344">
        <f t="shared" si="30"/>
        <v>0</v>
      </c>
      <c r="AD234" s="342">
        <v>1142.5999999999999</v>
      </c>
      <c r="AE234" s="342">
        <v>0</v>
      </c>
      <c r="AF234" s="344">
        <f t="shared" si="31"/>
        <v>0</v>
      </c>
      <c r="AG234" s="342">
        <v>0</v>
      </c>
      <c r="AH234" s="344">
        <f t="shared" si="32"/>
        <v>0</v>
      </c>
      <c r="AI234" s="342">
        <v>0</v>
      </c>
      <c r="AJ234" s="344">
        <f t="shared" si="33"/>
        <v>0</v>
      </c>
      <c r="AK234" s="342">
        <v>0</v>
      </c>
      <c r="AL234" s="784">
        <f t="shared" si="34"/>
        <v>0</v>
      </c>
      <c r="AM234" s="350">
        <v>35.966088695360988</v>
      </c>
      <c r="AN234" s="350">
        <v>35.876934362247432</v>
      </c>
      <c r="AO234" s="350">
        <v>38.285182427401338</v>
      </c>
      <c r="AP234" s="639">
        <f t="shared" si="35"/>
        <v>0</v>
      </c>
    </row>
    <row r="235" spans="1:42" x14ac:dyDescent="0.2">
      <c r="A235" s="638">
        <v>42491</v>
      </c>
      <c r="B235" s="341" t="s">
        <v>136</v>
      </c>
      <c r="C235" s="351" t="s">
        <v>194</v>
      </c>
      <c r="D235" s="342">
        <v>113862.25999977101</v>
      </c>
      <c r="E235" s="342">
        <v>6997</v>
      </c>
      <c r="F235" s="342">
        <v>106865.25999977101</v>
      </c>
      <c r="G235" s="342">
        <v>59803.060049653097</v>
      </c>
      <c r="H235" s="342">
        <v>22238.129967331901</v>
      </c>
      <c r="I235" s="342">
        <v>37564.930082321203</v>
      </c>
      <c r="J235" s="342">
        <v>1462.2599956691299</v>
      </c>
      <c r="K235" s="343">
        <v>58340.800053983978</v>
      </c>
      <c r="L235" s="342">
        <v>27504.9800205231</v>
      </c>
      <c r="M235" s="342">
        <v>829.58001708984398</v>
      </c>
      <c r="N235" s="354">
        <v>485</v>
      </c>
      <c r="O235" s="343">
        <v>234.76754639128043</v>
      </c>
      <c r="P235" s="343">
        <v>176.34577311785168</v>
      </c>
      <c r="Q235" s="343">
        <v>123.30527845289299</v>
      </c>
      <c r="R235" s="344">
        <v>0.52522284424859811</v>
      </c>
      <c r="S235" s="344">
        <v>0.7113869870126468</v>
      </c>
      <c r="T235" s="343">
        <v>89454.720000000001</v>
      </c>
      <c r="U235" s="342">
        <v>77320.53</v>
      </c>
      <c r="V235" s="342">
        <v>6365.04</v>
      </c>
      <c r="W235" s="344">
        <f t="shared" si="36"/>
        <v>8.232018068163785E-2</v>
      </c>
      <c r="X235" s="342">
        <v>2097.4499999999998</v>
      </c>
      <c r="Y235" s="344">
        <f t="shared" si="37"/>
        <v>2.7126689379909835E-2</v>
      </c>
      <c r="Z235" s="342">
        <v>780.9</v>
      </c>
      <c r="AA235" s="344">
        <f t="shared" si="29"/>
        <v>1.0099516907087937E-2</v>
      </c>
      <c r="AB235" s="342">
        <v>-171.2</v>
      </c>
      <c r="AC235" s="344">
        <f t="shared" si="30"/>
        <v>-2.2141596804884809E-3</v>
      </c>
      <c r="AD235" s="342">
        <v>12134.19</v>
      </c>
      <c r="AE235" s="342">
        <v>1880.88</v>
      </c>
      <c r="AF235" s="344">
        <f t="shared" si="31"/>
        <v>0.15500663826757288</v>
      </c>
      <c r="AG235" s="342">
        <v>2420.4699999999998</v>
      </c>
      <c r="AH235" s="344">
        <f t="shared" si="32"/>
        <v>0.1994752018882183</v>
      </c>
      <c r="AI235" s="342">
        <v>2417.34</v>
      </c>
      <c r="AJ235" s="344">
        <f t="shared" si="33"/>
        <v>0.19921725306757188</v>
      </c>
      <c r="AK235" s="342">
        <v>3974.22</v>
      </c>
      <c r="AL235" s="784">
        <f t="shared" si="34"/>
        <v>0.32752247986886635</v>
      </c>
      <c r="AM235" s="350">
        <v>26.854900227473408</v>
      </c>
      <c r="AN235" s="350">
        <v>24.904302790777152</v>
      </c>
      <c r="AO235" s="350">
        <v>53.612032400589108</v>
      </c>
      <c r="AP235" s="639">
        <f t="shared" si="35"/>
        <v>1.7096917096053214E-2</v>
      </c>
    </row>
    <row r="236" spans="1:42" x14ac:dyDescent="0.2">
      <c r="A236" s="638">
        <v>42491</v>
      </c>
      <c r="B236" s="341" t="s">
        <v>136</v>
      </c>
      <c r="C236" s="351" t="s">
        <v>195</v>
      </c>
      <c r="D236" s="342">
        <v>91818.320003051296</v>
      </c>
      <c r="E236" s="342">
        <v>4390</v>
      </c>
      <c r="F236" s="342">
        <v>87428.320003051296</v>
      </c>
      <c r="G236" s="342">
        <v>45487.540073394797</v>
      </c>
      <c r="H236" s="342">
        <v>21944.2300004959</v>
      </c>
      <c r="I236" s="342">
        <v>23543.310072898901</v>
      </c>
      <c r="J236" s="342">
        <v>1139.4699995517699</v>
      </c>
      <c r="K236" s="343">
        <v>44348.070073843031</v>
      </c>
      <c r="L236" s="342">
        <v>20272.760061264002</v>
      </c>
      <c r="M236" s="342">
        <v>242</v>
      </c>
      <c r="N236" s="354">
        <v>455</v>
      </c>
      <c r="O236" s="343">
        <v>201.79850550121165</v>
      </c>
      <c r="P236" s="343">
        <v>156.71112075118089</v>
      </c>
      <c r="Q236" s="343">
        <v>99.97261554592265</v>
      </c>
      <c r="R236" s="344">
        <v>0.49540810670335905</v>
      </c>
      <c r="S236" s="344">
        <v>0.64830228840484705</v>
      </c>
      <c r="T236" s="343">
        <v>66627.48</v>
      </c>
      <c r="U236" s="342">
        <v>60893.13</v>
      </c>
      <c r="V236" s="342">
        <v>2457.29</v>
      </c>
      <c r="W236" s="344">
        <f t="shared" si="36"/>
        <v>4.0354141756221103E-2</v>
      </c>
      <c r="X236" s="342">
        <v>-16.98</v>
      </c>
      <c r="Y236" s="344">
        <v>0</v>
      </c>
      <c r="Z236" s="342">
        <v>440.51</v>
      </c>
      <c r="AA236" s="344">
        <f t="shared" si="29"/>
        <v>7.2341494024038512E-3</v>
      </c>
      <c r="AB236" s="342">
        <v>0</v>
      </c>
      <c r="AC236" s="344">
        <f t="shared" si="30"/>
        <v>0</v>
      </c>
      <c r="AD236" s="342">
        <v>5734.35</v>
      </c>
      <c r="AE236" s="342">
        <v>1402.08</v>
      </c>
      <c r="AF236" s="344">
        <f t="shared" si="31"/>
        <v>0.2445054801328834</v>
      </c>
      <c r="AG236" s="342">
        <v>1141.31</v>
      </c>
      <c r="AH236" s="344">
        <f t="shared" si="32"/>
        <v>0.19903040449222664</v>
      </c>
      <c r="AI236" s="342">
        <v>902.45</v>
      </c>
      <c r="AJ236" s="344">
        <f t="shared" si="33"/>
        <v>0.15737616294784937</v>
      </c>
      <c r="AK236" s="342">
        <v>408.19</v>
      </c>
      <c r="AL236" s="784">
        <f t="shared" si="34"/>
        <v>7.118330761115034E-2</v>
      </c>
      <c r="AM236" s="350">
        <v>26.880541067989519</v>
      </c>
      <c r="AN236" s="350">
        <v>25.747552308354312</v>
      </c>
      <c r="AO236" s="350">
        <v>50.458691826359015</v>
      </c>
      <c r="AP236" s="639">
        <f t="shared" si="35"/>
        <v>1.5980548523552553E-2</v>
      </c>
    </row>
    <row r="237" spans="1:42" x14ac:dyDescent="0.2">
      <c r="A237" s="638">
        <v>42491</v>
      </c>
      <c r="B237" s="341" t="s">
        <v>136</v>
      </c>
      <c r="C237" s="351" t="s">
        <v>196</v>
      </c>
      <c r="D237" s="342">
        <v>103142.649998665</v>
      </c>
      <c r="E237" s="342">
        <v>7708</v>
      </c>
      <c r="F237" s="342">
        <v>95434.6499986649</v>
      </c>
      <c r="G237" s="342">
        <v>51614.160078048699</v>
      </c>
      <c r="H237" s="342">
        <v>21882.099977493301</v>
      </c>
      <c r="I237" s="342">
        <v>29732.060100555402</v>
      </c>
      <c r="J237" s="342">
        <v>10</v>
      </c>
      <c r="K237" s="343">
        <v>51604.160078048706</v>
      </c>
      <c r="L237" s="342">
        <v>23391.910039901701</v>
      </c>
      <c r="M237" s="342">
        <v>111</v>
      </c>
      <c r="N237" s="354">
        <v>508</v>
      </c>
      <c r="O237" s="343">
        <v>203.03671259579704</v>
      </c>
      <c r="P237" s="343">
        <v>156.77114165110865</v>
      </c>
      <c r="Q237" s="343">
        <v>101.60267731899351</v>
      </c>
      <c r="R237" s="344">
        <v>0.50041529938116591</v>
      </c>
      <c r="S237" s="344">
        <v>0.6481769261682564</v>
      </c>
      <c r="T237" s="343">
        <v>64482.74</v>
      </c>
      <c r="U237" s="342">
        <v>61721.54</v>
      </c>
      <c r="V237" s="342">
        <v>0</v>
      </c>
      <c r="W237" s="344">
        <f t="shared" si="36"/>
        <v>0</v>
      </c>
      <c r="X237" s="342">
        <v>0</v>
      </c>
      <c r="Y237" s="344">
        <f t="shared" si="37"/>
        <v>0</v>
      </c>
      <c r="Z237" s="342">
        <v>0</v>
      </c>
      <c r="AA237" s="344">
        <f t="shared" si="29"/>
        <v>0</v>
      </c>
      <c r="AB237" s="342">
        <v>0</v>
      </c>
      <c r="AC237" s="344">
        <f t="shared" si="30"/>
        <v>0</v>
      </c>
      <c r="AD237" s="342">
        <v>2761.2</v>
      </c>
      <c r="AE237" s="342">
        <v>119.72</v>
      </c>
      <c r="AF237" s="344">
        <f t="shared" si="31"/>
        <v>4.335796030711285E-2</v>
      </c>
      <c r="AG237" s="342">
        <v>0</v>
      </c>
      <c r="AH237" s="344">
        <f t="shared" si="32"/>
        <v>0</v>
      </c>
      <c r="AI237" s="342">
        <v>0</v>
      </c>
      <c r="AJ237" s="344">
        <f t="shared" si="33"/>
        <v>0</v>
      </c>
      <c r="AK237" s="342">
        <v>0</v>
      </c>
      <c r="AL237" s="784">
        <f t="shared" si="34"/>
        <v>0</v>
      </c>
      <c r="AM237" s="350">
        <v>26.785166175064525</v>
      </c>
      <c r="AN237" s="350">
        <v>27.709100018228142</v>
      </c>
      <c r="AO237" s="350">
        <v>15.346631260421168</v>
      </c>
      <c r="AP237" s="639">
        <f t="shared" si="35"/>
        <v>1.2556545268954802E-4</v>
      </c>
    </row>
    <row r="238" spans="1:42" x14ac:dyDescent="0.2">
      <c r="A238" s="638">
        <v>42491</v>
      </c>
      <c r="B238" s="341" t="s">
        <v>136</v>
      </c>
      <c r="C238" s="351" t="s">
        <v>290</v>
      </c>
      <c r="D238" s="342">
        <v>8657.5099999997801</v>
      </c>
      <c r="E238" s="342">
        <v>385</v>
      </c>
      <c r="F238" s="342">
        <v>8272.5099999997801</v>
      </c>
      <c r="G238" s="342">
        <v>2922.5400085449201</v>
      </c>
      <c r="H238" s="342">
        <v>0</v>
      </c>
      <c r="I238" s="342">
        <v>2922.5400085449201</v>
      </c>
      <c r="J238" s="342">
        <v>0</v>
      </c>
      <c r="K238" s="343">
        <v>2922.5400085449201</v>
      </c>
      <c r="L238" s="342">
        <v>0</v>
      </c>
      <c r="M238" s="342">
        <v>0</v>
      </c>
      <c r="N238" s="354">
        <v>46</v>
      </c>
      <c r="O238" s="343">
        <v>188.20673913043001</v>
      </c>
      <c r="P238" s="343">
        <v>188.20673913043001</v>
      </c>
      <c r="Q238" s="343">
        <v>63.533478446628699</v>
      </c>
      <c r="R238" s="344">
        <v>0.33757281349314</v>
      </c>
      <c r="S238" s="344">
        <v>0.33757281349314</v>
      </c>
      <c r="T238" s="343">
        <v>5609.97</v>
      </c>
      <c r="U238" s="342">
        <v>5589.97</v>
      </c>
      <c r="V238" s="342">
        <v>0</v>
      </c>
      <c r="W238" s="344">
        <f t="shared" si="36"/>
        <v>0</v>
      </c>
      <c r="X238" s="342">
        <v>0</v>
      </c>
      <c r="Y238" s="344">
        <f t="shared" si="37"/>
        <v>0</v>
      </c>
      <c r="Z238" s="342">
        <v>0</v>
      </c>
      <c r="AA238" s="344">
        <f t="shared" si="29"/>
        <v>0</v>
      </c>
      <c r="AB238" s="342">
        <v>0</v>
      </c>
      <c r="AC238" s="344">
        <f t="shared" si="30"/>
        <v>0</v>
      </c>
      <c r="AD238" s="342">
        <v>20</v>
      </c>
      <c r="AE238" s="342">
        <v>0</v>
      </c>
      <c r="AF238" s="344">
        <f t="shared" si="31"/>
        <v>0</v>
      </c>
      <c r="AG238" s="342">
        <v>0</v>
      </c>
      <c r="AH238" s="344">
        <f t="shared" si="32"/>
        <v>0</v>
      </c>
      <c r="AI238" s="342">
        <v>0</v>
      </c>
      <c r="AJ238" s="344">
        <f t="shared" si="33"/>
        <v>0</v>
      </c>
      <c r="AK238" s="342">
        <v>0</v>
      </c>
      <c r="AL238" s="784">
        <f t="shared" si="34"/>
        <v>0</v>
      </c>
      <c r="AM238" s="350">
        <v>19.439665677545193</v>
      </c>
      <c r="AN238" s="350">
        <v>20.271852194799944</v>
      </c>
      <c r="AO238" s="350">
        <v>1.5584415584415585</v>
      </c>
      <c r="AP238" s="639">
        <f t="shared" si="35"/>
        <v>0</v>
      </c>
    </row>
    <row r="239" spans="1:42" x14ac:dyDescent="0.2">
      <c r="A239" s="638">
        <v>42491</v>
      </c>
      <c r="B239" s="341" t="s">
        <v>137</v>
      </c>
      <c r="C239" s="351" t="s">
        <v>209</v>
      </c>
      <c r="D239" s="342">
        <v>71640.200001239806</v>
      </c>
      <c r="E239" s="342">
        <v>4172</v>
      </c>
      <c r="F239" s="342">
        <v>67468.200001239806</v>
      </c>
      <c r="G239" s="342">
        <v>39982.750058651</v>
      </c>
      <c r="H239" s="342">
        <v>18442.479982852899</v>
      </c>
      <c r="I239" s="342">
        <v>21540.270075797998</v>
      </c>
      <c r="J239" s="342">
        <v>365.00999927520797</v>
      </c>
      <c r="K239" s="343">
        <v>39617.74005937569</v>
      </c>
      <c r="L239" s="342">
        <v>20667.900047302199</v>
      </c>
      <c r="M239" s="342">
        <v>29.5</v>
      </c>
      <c r="N239" s="354">
        <v>329</v>
      </c>
      <c r="O239" s="343">
        <v>217.75136778492342</v>
      </c>
      <c r="P239" s="343">
        <v>154.84133724601097</v>
      </c>
      <c r="Q239" s="343">
        <v>121.52811567978996</v>
      </c>
      <c r="R239" s="344">
        <v>0.55810494747305217</v>
      </c>
      <c r="S239" s="344">
        <v>0.79051991189198212</v>
      </c>
      <c r="T239" s="343">
        <v>43911.040000000001</v>
      </c>
      <c r="U239" s="342">
        <v>39994.660000000003</v>
      </c>
      <c r="V239" s="342">
        <v>1225.45</v>
      </c>
      <c r="W239" s="344">
        <f t="shared" si="36"/>
        <v>3.0640340485454807E-2</v>
      </c>
      <c r="X239" s="342">
        <v>18.68</v>
      </c>
      <c r="Y239" s="344">
        <f t="shared" si="37"/>
        <v>4.6706235282410199E-4</v>
      </c>
      <c r="Z239" s="342">
        <v>0</v>
      </c>
      <c r="AA239" s="344">
        <f t="shared" si="29"/>
        <v>0</v>
      </c>
      <c r="AB239" s="342">
        <v>0</v>
      </c>
      <c r="AC239" s="344">
        <f t="shared" si="30"/>
        <v>0</v>
      </c>
      <c r="AD239" s="342">
        <v>3916.38</v>
      </c>
      <c r="AE239" s="342">
        <v>782.52</v>
      </c>
      <c r="AF239" s="344">
        <f t="shared" si="31"/>
        <v>0.19980696459485545</v>
      </c>
      <c r="AG239" s="342">
        <v>-75</v>
      </c>
      <c r="AH239" s="344">
        <v>0</v>
      </c>
      <c r="AI239" s="342">
        <v>0</v>
      </c>
      <c r="AJ239" s="344">
        <f t="shared" si="33"/>
        <v>0</v>
      </c>
      <c r="AK239" s="342">
        <v>0</v>
      </c>
      <c r="AL239" s="784">
        <f t="shared" si="34"/>
        <v>0</v>
      </c>
      <c r="AM239" s="350">
        <v>21.098331141170021</v>
      </c>
      <c r="AN239" s="350">
        <v>20.928522517629386</v>
      </c>
      <c r="AO239" s="350">
        <v>23.00445111604229</v>
      </c>
      <c r="AP239" s="639">
        <f t="shared" si="35"/>
        <v>7.165094961510742E-3</v>
      </c>
    </row>
    <row r="240" spans="1:42" x14ac:dyDescent="0.2">
      <c r="A240" s="638">
        <v>42491</v>
      </c>
      <c r="B240" s="341" t="s">
        <v>137</v>
      </c>
      <c r="C240" s="351" t="s">
        <v>197</v>
      </c>
      <c r="D240" s="342">
        <v>182253.730014095</v>
      </c>
      <c r="E240" s="342">
        <v>6891</v>
      </c>
      <c r="F240" s="342">
        <v>175362.730014095</v>
      </c>
      <c r="G240" s="342">
        <v>100564.890132666</v>
      </c>
      <c r="H240" s="342">
        <v>49354.480004310601</v>
      </c>
      <c r="I240" s="342">
        <v>51210.410128354997</v>
      </c>
      <c r="J240" s="342">
        <v>1774.23999500275</v>
      </c>
      <c r="K240" s="343">
        <v>98790.650137662858</v>
      </c>
      <c r="L240" s="342">
        <v>50529.389976501501</v>
      </c>
      <c r="M240" s="342">
        <v>62.400001525878899</v>
      </c>
      <c r="N240" s="354">
        <v>805</v>
      </c>
      <c r="O240" s="343">
        <v>226.40214908583229</v>
      </c>
      <c r="P240" s="343">
        <v>163.5552050137486</v>
      </c>
      <c r="Q240" s="343">
        <v>124.92532935734857</v>
      </c>
      <c r="R240" s="344">
        <v>0.5517850862360304</v>
      </c>
      <c r="S240" s="344">
        <v>0.77424490618335173</v>
      </c>
      <c r="T240" s="343">
        <v>157634.63999999998</v>
      </c>
      <c r="U240" s="342">
        <v>139799.35999999999</v>
      </c>
      <c r="V240" s="342">
        <v>17840.95</v>
      </c>
      <c r="W240" s="344">
        <f t="shared" si="36"/>
        <v>0.12761825232962443</v>
      </c>
      <c r="X240" s="342">
        <v>3307.43</v>
      </c>
      <c r="Y240" s="344">
        <f t="shared" si="37"/>
        <v>2.3658405875391704E-2</v>
      </c>
      <c r="Z240" s="342">
        <v>4886.32</v>
      </c>
      <c r="AA240" s="344">
        <f t="shared" si="29"/>
        <v>3.4952377464388965E-2</v>
      </c>
      <c r="AB240" s="342">
        <v>3440.87</v>
      </c>
      <c r="AC240" s="344">
        <f t="shared" si="30"/>
        <v>2.4612916682880383E-2</v>
      </c>
      <c r="AD240" s="342">
        <v>17835.28</v>
      </c>
      <c r="AE240" s="342">
        <v>2004.51</v>
      </c>
      <c r="AF240" s="344">
        <f t="shared" si="31"/>
        <v>0.11239016152255531</v>
      </c>
      <c r="AG240" s="342">
        <v>2119.66</v>
      </c>
      <c r="AH240" s="344">
        <f t="shared" si="32"/>
        <v>0.11884646610538215</v>
      </c>
      <c r="AI240" s="342">
        <v>3107.89</v>
      </c>
      <c r="AJ240" s="344">
        <f t="shared" si="33"/>
        <v>0.17425518410700588</v>
      </c>
      <c r="AK240" s="342">
        <v>3074.55</v>
      </c>
      <c r="AL240" s="784">
        <f t="shared" si="34"/>
        <v>0.17238585545054524</v>
      </c>
      <c r="AM240" s="350">
        <v>28.08134119371076</v>
      </c>
      <c r="AN240" s="350">
        <v>26.09868217721316</v>
      </c>
      <c r="AO240" s="350">
        <v>69.415983393876488</v>
      </c>
      <c r="AP240" s="639">
        <f t="shared" si="35"/>
        <v>1.3475724226125732E-2</v>
      </c>
    </row>
    <row r="241" spans="1:42" x14ac:dyDescent="0.2">
      <c r="A241" s="638">
        <v>42491</v>
      </c>
      <c r="B241" s="341" t="s">
        <v>137</v>
      </c>
      <c r="C241" s="351" t="s">
        <v>198</v>
      </c>
      <c r="D241" s="342">
        <v>0</v>
      </c>
      <c r="E241" s="342">
        <v>0</v>
      </c>
      <c r="F241" s="342">
        <v>0</v>
      </c>
      <c r="G241" s="342">
        <v>0</v>
      </c>
      <c r="H241" s="342">
        <v>0</v>
      </c>
      <c r="I241" s="342">
        <v>0</v>
      </c>
      <c r="J241" s="342">
        <v>0</v>
      </c>
      <c r="K241" s="343">
        <v>0</v>
      </c>
      <c r="L241" s="342">
        <v>0</v>
      </c>
      <c r="M241" s="342">
        <v>63.930000305175803</v>
      </c>
      <c r="N241" s="354">
        <v>0</v>
      </c>
      <c r="O241" s="343" t="s">
        <v>311</v>
      </c>
      <c r="P241" s="343" t="s">
        <v>311</v>
      </c>
      <c r="Q241" s="343" t="s">
        <v>311</v>
      </c>
      <c r="R241" s="344" t="s">
        <v>312</v>
      </c>
      <c r="S241" s="344">
        <v>0</v>
      </c>
      <c r="T241" s="343">
        <v>0</v>
      </c>
      <c r="U241" s="342">
        <v>0</v>
      </c>
      <c r="V241" s="342">
        <v>0</v>
      </c>
      <c r="W241" s="344" t="str">
        <f t="shared" si="36"/>
        <v>0.00%</v>
      </c>
      <c r="X241" s="342">
        <v>0</v>
      </c>
      <c r="Y241" s="344" t="str">
        <f t="shared" si="37"/>
        <v>0.00%</v>
      </c>
      <c r="Z241" s="342">
        <v>0</v>
      </c>
      <c r="AA241" s="344">
        <f t="shared" si="29"/>
        <v>0</v>
      </c>
      <c r="AB241" s="342">
        <v>0</v>
      </c>
      <c r="AC241" s="344" t="str">
        <f t="shared" si="30"/>
        <v>0.00%</v>
      </c>
      <c r="AD241" s="342">
        <v>0</v>
      </c>
      <c r="AE241" s="342">
        <v>0</v>
      </c>
      <c r="AF241" s="344" t="str">
        <f t="shared" si="31"/>
        <v>0.00%</v>
      </c>
      <c r="AG241" s="342">
        <v>0</v>
      </c>
      <c r="AH241" s="344" t="str">
        <f t="shared" si="32"/>
        <v>0.00%</v>
      </c>
      <c r="AI241" s="342">
        <v>0</v>
      </c>
      <c r="AJ241" s="344">
        <f t="shared" si="33"/>
        <v>0</v>
      </c>
      <c r="AK241" s="342">
        <v>0</v>
      </c>
      <c r="AL241" s="784" t="str">
        <f t="shared" si="34"/>
        <v>0.00%</v>
      </c>
      <c r="AM241" s="350" t="s">
        <v>313</v>
      </c>
      <c r="AN241" s="350" t="s">
        <v>313</v>
      </c>
      <c r="AO241" s="350" t="s">
        <v>313</v>
      </c>
      <c r="AP241" s="639">
        <f t="shared" si="35"/>
        <v>0</v>
      </c>
    </row>
    <row r="242" spans="1:42" x14ac:dyDescent="0.2">
      <c r="A242" s="638">
        <v>42491</v>
      </c>
      <c r="B242" s="341" t="s">
        <v>137</v>
      </c>
      <c r="C242" s="351" t="s">
        <v>199</v>
      </c>
      <c r="D242" s="342">
        <v>253477.03001527701</v>
      </c>
      <c r="E242" s="342">
        <v>10529</v>
      </c>
      <c r="F242" s="342">
        <v>242948.03001527701</v>
      </c>
      <c r="G242" s="342">
        <v>155416.98001700599</v>
      </c>
      <c r="H242" s="342">
        <v>82448.069912910505</v>
      </c>
      <c r="I242" s="342">
        <v>72968.910104095907</v>
      </c>
      <c r="J242" s="342">
        <v>4019.7100019455002</v>
      </c>
      <c r="K242" s="343">
        <v>151397.2700150609</v>
      </c>
      <c r="L242" s="342">
        <v>73551.270126789794</v>
      </c>
      <c r="M242" s="342">
        <v>73513.919992346302</v>
      </c>
      <c r="N242" s="354">
        <v>1289</v>
      </c>
      <c r="O242" s="343">
        <v>196.64626067903569</v>
      </c>
      <c r="P242" s="343">
        <v>82.553793557906076</v>
      </c>
      <c r="Q242" s="343">
        <v>120.57174555237114</v>
      </c>
      <c r="R242" s="344">
        <v>0.61314029128256498</v>
      </c>
      <c r="S242" s="344">
        <v>1.5178606029350399</v>
      </c>
      <c r="T242" s="343">
        <v>217248.15</v>
      </c>
      <c r="U242" s="342">
        <v>174032.27</v>
      </c>
      <c r="V242" s="342">
        <v>25734.47</v>
      </c>
      <c r="W242" s="344">
        <f t="shared" si="36"/>
        <v>0.14787182859822492</v>
      </c>
      <c r="X242" s="342">
        <v>5282.27</v>
      </c>
      <c r="Y242" s="344">
        <f t="shared" si="37"/>
        <v>3.0352244442941535E-2</v>
      </c>
      <c r="Z242" s="342">
        <v>2352</v>
      </c>
      <c r="AA242" s="344">
        <f t="shared" si="29"/>
        <v>1.3514734939675269E-2</v>
      </c>
      <c r="AB242" s="342">
        <v>10443.08</v>
      </c>
      <c r="AC242" s="344">
        <f t="shared" si="30"/>
        <v>6.0006572344312926E-2</v>
      </c>
      <c r="AD242" s="342">
        <v>43215.88</v>
      </c>
      <c r="AE242" s="342">
        <v>3603.89</v>
      </c>
      <c r="AF242" s="344">
        <f t="shared" si="31"/>
        <v>8.3392725081613522E-2</v>
      </c>
      <c r="AG242" s="342">
        <v>4049.46</v>
      </c>
      <c r="AH242" s="344">
        <f t="shared" si="32"/>
        <v>9.3703055450912953E-2</v>
      </c>
      <c r="AI242" s="342">
        <v>4691.92</v>
      </c>
      <c r="AJ242" s="344">
        <f t="shared" si="33"/>
        <v>0.10856934997042754</v>
      </c>
      <c r="AK242" s="342">
        <v>22546.03</v>
      </c>
      <c r="AL242" s="784">
        <f t="shared" si="34"/>
        <v>0.52170706693928248</v>
      </c>
      <c r="AM242" s="350">
        <v>25.711104660929461</v>
      </c>
      <c r="AN242" s="350">
        <v>21.447554157951906</v>
      </c>
      <c r="AO242" s="350">
        <v>128.90001988466892</v>
      </c>
      <c r="AP242" s="639">
        <f t="shared" si="35"/>
        <v>3.7775025841755759E-2</v>
      </c>
    </row>
    <row r="243" spans="1:42" x14ac:dyDescent="0.2">
      <c r="A243" s="638">
        <v>42491</v>
      </c>
      <c r="B243" s="341" t="s">
        <v>137</v>
      </c>
      <c r="C243" s="351" t="s">
        <v>200</v>
      </c>
      <c r="D243" s="342">
        <v>0</v>
      </c>
      <c r="E243" s="342">
        <v>0</v>
      </c>
      <c r="F243" s="342">
        <v>0</v>
      </c>
      <c r="G243" s="342">
        <v>152.90999794006299</v>
      </c>
      <c r="H243" s="342">
        <v>108.289999008179</v>
      </c>
      <c r="I243" s="342">
        <v>44.619998931884801</v>
      </c>
      <c r="J243" s="342">
        <v>0</v>
      </c>
      <c r="K243" s="343">
        <v>152.90999794006379</v>
      </c>
      <c r="L243" s="342">
        <v>78.75</v>
      </c>
      <c r="M243" s="342">
        <v>4996.9500117301905</v>
      </c>
      <c r="N243" s="354">
        <v>0</v>
      </c>
      <c r="O243" s="343" t="s">
        <v>311</v>
      </c>
      <c r="P243" s="343" t="s">
        <v>311</v>
      </c>
      <c r="Q243" s="343" t="s">
        <v>311</v>
      </c>
      <c r="R243" s="344" t="s">
        <v>312</v>
      </c>
      <c r="S243" s="344">
        <v>-3.0125893489899191E-2</v>
      </c>
      <c r="T243" s="343">
        <v>821.09</v>
      </c>
      <c r="U243" s="342">
        <v>767.52</v>
      </c>
      <c r="V243" s="342">
        <v>767.52</v>
      </c>
      <c r="W243" s="344">
        <f t="shared" si="36"/>
        <v>1</v>
      </c>
      <c r="X243" s="342">
        <v>0</v>
      </c>
      <c r="Y243" s="344">
        <f t="shared" si="37"/>
        <v>0</v>
      </c>
      <c r="Z243" s="342">
        <v>0</v>
      </c>
      <c r="AA243" s="344">
        <f t="shared" si="29"/>
        <v>0</v>
      </c>
      <c r="AB243" s="342">
        <v>767.52</v>
      </c>
      <c r="AC243" s="344">
        <f t="shared" si="30"/>
        <v>1</v>
      </c>
      <c r="AD243" s="342">
        <v>53.57</v>
      </c>
      <c r="AE243" s="342">
        <v>0</v>
      </c>
      <c r="AF243" s="344">
        <f t="shared" si="31"/>
        <v>0</v>
      </c>
      <c r="AG243" s="342">
        <v>0</v>
      </c>
      <c r="AH243" s="344">
        <f t="shared" si="32"/>
        <v>0</v>
      </c>
      <c r="AI243" s="342">
        <v>0</v>
      </c>
      <c r="AJ243" s="344">
        <f t="shared" si="33"/>
        <v>0</v>
      </c>
      <c r="AK243" s="342">
        <v>53.57</v>
      </c>
      <c r="AL243" s="784">
        <f t="shared" si="34"/>
        <v>1</v>
      </c>
      <c r="AM243" s="350" t="s">
        <v>313</v>
      </c>
      <c r="AN243" s="350" t="s">
        <v>313</v>
      </c>
      <c r="AO243" s="350" t="s">
        <v>313</v>
      </c>
      <c r="AP243" s="639">
        <f t="shared" si="35"/>
        <v>0</v>
      </c>
    </row>
    <row r="244" spans="1:42" x14ac:dyDescent="0.2">
      <c r="A244" s="638">
        <v>42491</v>
      </c>
      <c r="B244" s="341" t="s">
        <v>137</v>
      </c>
      <c r="C244" s="351" t="s">
        <v>201</v>
      </c>
      <c r="D244" s="342">
        <v>301964.83000563999</v>
      </c>
      <c r="E244" s="342">
        <v>10799</v>
      </c>
      <c r="F244" s="342">
        <v>291165.83000563999</v>
      </c>
      <c r="G244" s="342">
        <v>160749.500029672</v>
      </c>
      <c r="H244" s="342">
        <v>94953.969936955706</v>
      </c>
      <c r="I244" s="342">
        <v>65795.530092716202</v>
      </c>
      <c r="J244" s="342">
        <v>4033.2899928093002</v>
      </c>
      <c r="K244" s="343">
        <v>156716.21003686261</v>
      </c>
      <c r="L244" s="342">
        <v>86055.2900880128</v>
      </c>
      <c r="M244" s="342">
        <v>130069.850040659</v>
      </c>
      <c r="N244" s="354">
        <v>1346</v>
      </c>
      <c r="O244" s="343">
        <v>224.34236998933133</v>
      </c>
      <c r="P244" s="343">
        <v>63.773915213200723</v>
      </c>
      <c r="Q244" s="343">
        <v>119.42756317211881</v>
      </c>
      <c r="R244" s="344">
        <v>0.53234510796065049</v>
      </c>
      <c r="S244" s="344">
        <v>1.9649990741225578</v>
      </c>
      <c r="T244" s="343">
        <v>356556.84</v>
      </c>
      <c r="U244" s="342">
        <v>286230.78000000003</v>
      </c>
      <c r="V244" s="342">
        <v>44478.46</v>
      </c>
      <c r="W244" s="344">
        <f t="shared" si="36"/>
        <v>0.15539370014643428</v>
      </c>
      <c r="X244" s="342">
        <v>5845.2</v>
      </c>
      <c r="Y244" s="344">
        <f t="shared" si="37"/>
        <v>2.0421283832577332E-2</v>
      </c>
      <c r="Z244" s="342">
        <v>5242.16</v>
      </c>
      <c r="AA244" s="344">
        <f t="shared" si="29"/>
        <v>1.8314452414935945E-2</v>
      </c>
      <c r="AB244" s="342">
        <v>21190</v>
      </c>
      <c r="AC244" s="344">
        <f t="shared" si="30"/>
        <v>7.4031171630109097E-2</v>
      </c>
      <c r="AD244" s="342">
        <v>70326.06</v>
      </c>
      <c r="AE244" s="342">
        <v>7617.26</v>
      </c>
      <c r="AF244" s="344">
        <f t="shared" si="31"/>
        <v>0.1083134758295858</v>
      </c>
      <c r="AG244" s="342">
        <v>6956.96</v>
      </c>
      <c r="AH244" s="344">
        <f t="shared" si="32"/>
        <v>9.8924353219844829E-2</v>
      </c>
      <c r="AI244" s="342">
        <v>5417.73</v>
      </c>
      <c r="AJ244" s="344">
        <f t="shared" si="33"/>
        <v>7.7037303099306287E-2</v>
      </c>
      <c r="AK244" s="342">
        <v>34922.050000000003</v>
      </c>
      <c r="AL244" s="784">
        <f t="shared" si="34"/>
        <v>0.49657338972210308</v>
      </c>
      <c r="AM244" s="350">
        <v>37.613123169465368</v>
      </c>
      <c r="AN244" s="350">
        <v>31.223444517422514</v>
      </c>
      <c r="AO244" s="350">
        <v>225.10742255574917</v>
      </c>
      <c r="AP244" s="639">
        <f t="shared" si="35"/>
        <v>4.6986306667581294E-2</v>
      </c>
    </row>
    <row r="245" spans="1:42" x14ac:dyDescent="0.2">
      <c r="A245" s="638">
        <v>42491</v>
      </c>
      <c r="B245" s="341" t="s">
        <v>137</v>
      </c>
      <c r="C245" s="351" t="s">
        <v>202</v>
      </c>
      <c r="D245" s="342">
        <v>0</v>
      </c>
      <c r="E245" s="342">
        <v>0</v>
      </c>
      <c r="F245" s="342">
        <v>0</v>
      </c>
      <c r="G245" s="342">
        <v>0</v>
      </c>
      <c r="H245" s="342">
        <v>0</v>
      </c>
      <c r="I245" s="342">
        <v>0</v>
      </c>
      <c r="J245" s="342">
        <v>0</v>
      </c>
      <c r="K245" s="343">
        <v>0</v>
      </c>
      <c r="L245" s="342">
        <v>0</v>
      </c>
      <c r="M245" s="342">
        <v>357.60999965667702</v>
      </c>
      <c r="N245" s="354">
        <v>0</v>
      </c>
      <c r="O245" s="343" t="s">
        <v>311</v>
      </c>
      <c r="P245" s="343" t="s">
        <v>311</v>
      </c>
      <c r="Q245" s="343" t="s">
        <v>311</v>
      </c>
      <c r="R245" s="344" t="s">
        <v>312</v>
      </c>
      <c r="S245" s="344">
        <v>0</v>
      </c>
      <c r="T245" s="343">
        <v>0</v>
      </c>
      <c r="U245" s="342">
        <v>0</v>
      </c>
      <c r="V245" s="342">
        <v>0</v>
      </c>
      <c r="W245" s="344" t="str">
        <f t="shared" si="36"/>
        <v>0.00%</v>
      </c>
      <c r="X245" s="342">
        <v>0</v>
      </c>
      <c r="Y245" s="344" t="str">
        <f t="shared" si="37"/>
        <v>0.00%</v>
      </c>
      <c r="Z245" s="342">
        <v>0</v>
      </c>
      <c r="AA245" s="344">
        <f t="shared" si="29"/>
        <v>0</v>
      </c>
      <c r="AB245" s="342">
        <v>0</v>
      </c>
      <c r="AC245" s="344" t="str">
        <f t="shared" si="30"/>
        <v>0.00%</v>
      </c>
      <c r="AD245" s="342">
        <v>0</v>
      </c>
      <c r="AE245" s="342">
        <v>0</v>
      </c>
      <c r="AF245" s="344" t="str">
        <f t="shared" si="31"/>
        <v>0.00%</v>
      </c>
      <c r="AG245" s="342">
        <v>0</v>
      </c>
      <c r="AH245" s="344" t="str">
        <f t="shared" si="32"/>
        <v>0.00%</v>
      </c>
      <c r="AI245" s="342">
        <v>0</v>
      </c>
      <c r="AJ245" s="344">
        <f t="shared" si="33"/>
        <v>0</v>
      </c>
      <c r="AK245" s="342">
        <v>0</v>
      </c>
      <c r="AL245" s="784" t="str">
        <f t="shared" si="34"/>
        <v>0.00%</v>
      </c>
      <c r="AM245" s="350" t="s">
        <v>313</v>
      </c>
      <c r="AN245" s="350" t="s">
        <v>313</v>
      </c>
      <c r="AO245" s="350" t="s">
        <v>313</v>
      </c>
      <c r="AP245" s="639">
        <f t="shared" si="35"/>
        <v>0</v>
      </c>
    </row>
    <row r="246" spans="1:42" x14ac:dyDescent="0.2">
      <c r="A246" s="638">
        <v>42491</v>
      </c>
      <c r="B246" s="341" t="s">
        <v>137</v>
      </c>
      <c r="C246" s="351" t="s">
        <v>203</v>
      </c>
      <c r="D246" s="342">
        <v>188487.74000408099</v>
      </c>
      <c r="E246" s="342">
        <v>9674</v>
      </c>
      <c r="F246" s="342">
        <v>178813.74000408099</v>
      </c>
      <c r="G246" s="342">
        <v>115285.500093505</v>
      </c>
      <c r="H246" s="342">
        <v>59891.430032357603</v>
      </c>
      <c r="I246" s="342">
        <v>55394.070061147198</v>
      </c>
      <c r="J246" s="342">
        <v>3527.3399925231902</v>
      </c>
      <c r="K246" s="343">
        <v>111758.16010098161</v>
      </c>
      <c r="L246" s="342">
        <v>53384.200042495497</v>
      </c>
      <c r="M246" s="342">
        <v>76234.560032414302</v>
      </c>
      <c r="N246" s="354">
        <v>984</v>
      </c>
      <c r="O246" s="343">
        <v>191.55258130496034</v>
      </c>
      <c r="P246" s="343">
        <v>59.826199115011363</v>
      </c>
      <c r="Q246" s="343">
        <v>117.16006107063497</v>
      </c>
      <c r="R246" s="344">
        <v>0.61163394548106276</v>
      </c>
      <c r="S246" s="344">
        <v>2.0831601706324059</v>
      </c>
      <c r="T246" s="343">
        <v>166856.39000000001</v>
      </c>
      <c r="U246" s="342">
        <v>134759.89000000001</v>
      </c>
      <c r="V246" s="342">
        <v>22934.510000000002</v>
      </c>
      <c r="W246" s="344">
        <f t="shared" si="36"/>
        <v>0.17018795429411526</v>
      </c>
      <c r="X246" s="342">
        <v>3285.45</v>
      </c>
      <c r="Y246" s="344">
        <f t="shared" si="37"/>
        <v>2.4380028805306975E-2</v>
      </c>
      <c r="Z246" s="342">
        <v>2955.53</v>
      </c>
      <c r="AA246" s="344">
        <f t="shared" si="29"/>
        <v>2.1931822592019035E-2</v>
      </c>
      <c r="AB246" s="342">
        <v>11204.24</v>
      </c>
      <c r="AC246" s="344">
        <f t="shared" si="30"/>
        <v>8.3142246554223212E-2</v>
      </c>
      <c r="AD246" s="342">
        <v>32096.5</v>
      </c>
      <c r="AE246" s="342">
        <v>2185.0300000000002</v>
      </c>
      <c r="AF246" s="344">
        <f t="shared" si="31"/>
        <v>6.8076893119187451E-2</v>
      </c>
      <c r="AG246" s="342">
        <v>3232.87</v>
      </c>
      <c r="AH246" s="344">
        <f t="shared" si="32"/>
        <v>0.10072344336609911</v>
      </c>
      <c r="AI246" s="342">
        <v>2954.19</v>
      </c>
      <c r="AJ246" s="344">
        <f t="shared" si="33"/>
        <v>9.2040876731107751E-2</v>
      </c>
      <c r="AK246" s="342">
        <v>17649.03</v>
      </c>
      <c r="AL246" s="784">
        <f t="shared" si="34"/>
        <v>0.54987397379776604</v>
      </c>
      <c r="AM246" s="350">
        <v>27.268259718510915</v>
      </c>
      <c r="AN246" s="350">
        <v>23.119649487183828</v>
      </c>
      <c r="AO246" s="350">
        <v>110.5759072117593</v>
      </c>
      <c r="AP246" s="639">
        <f t="shared" si="35"/>
        <v>5.991848332971194E-2</v>
      </c>
    </row>
    <row r="247" spans="1:42" x14ac:dyDescent="0.2">
      <c r="A247" s="638">
        <v>42491</v>
      </c>
      <c r="B247" s="341" t="s">
        <v>137</v>
      </c>
      <c r="C247" s="351" t="s">
        <v>204</v>
      </c>
      <c r="D247" s="342">
        <v>65725.860001582696</v>
      </c>
      <c r="E247" s="342">
        <v>5511</v>
      </c>
      <c r="F247" s="342">
        <v>60214.860001582703</v>
      </c>
      <c r="G247" s="342">
        <v>38145.980021178701</v>
      </c>
      <c r="H247" s="342">
        <v>18964.790000200301</v>
      </c>
      <c r="I247" s="342">
        <v>19181.190020978502</v>
      </c>
      <c r="J247" s="342">
        <v>884.08000183105503</v>
      </c>
      <c r="K247" s="343">
        <v>37261.900019347748</v>
      </c>
      <c r="L247" s="342">
        <v>16007.7799720764</v>
      </c>
      <c r="M247" s="342">
        <v>162</v>
      </c>
      <c r="N247" s="354">
        <v>359</v>
      </c>
      <c r="O247" s="343">
        <v>183.0803899765535</v>
      </c>
      <c r="P247" s="343">
        <v>138.03922013790057</v>
      </c>
      <c r="Q247" s="343">
        <v>106.25621175815823</v>
      </c>
      <c r="R247" s="344">
        <v>0.58038008205994152</v>
      </c>
      <c r="S247" s="344">
        <v>0.78373561800395952</v>
      </c>
      <c r="T247" s="343">
        <v>50466.78</v>
      </c>
      <c r="U247" s="342">
        <v>42473.39</v>
      </c>
      <c r="V247" s="342">
        <v>1989.71</v>
      </c>
      <c r="W247" s="344">
        <f t="shared" si="36"/>
        <v>4.6846037012821438E-2</v>
      </c>
      <c r="X247" s="342">
        <v>723.47</v>
      </c>
      <c r="Y247" s="344">
        <f t="shared" si="37"/>
        <v>1.7033488497150806E-2</v>
      </c>
      <c r="Z247" s="342">
        <v>-44.77</v>
      </c>
      <c r="AA247" s="344">
        <v>0</v>
      </c>
      <c r="AB247" s="342">
        <v>0</v>
      </c>
      <c r="AC247" s="344">
        <f t="shared" si="30"/>
        <v>0</v>
      </c>
      <c r="AD247" s="342">
        <v>7993.39</v>
      </c>
      <c r="AE247" s="342">
        <v>1769.44</v>
      </c>
      <c r="AF247" s="344">
        <f t="shared" si="31"/>
        <v>0.22136290109703141</v>
      </c>
      <c r="AG247" s="342">
        <v>2113.36</v>
      </c>
      <c r="AH247" s="344">
        <f t="shared" si="32"/>
        <v>0.26438845095760372</v>
      </c>
      <c r="AI247" s="342">
        <v>529.83000000000004</v>
      </c>
      <c r="AJ247" s="344">
        <f t="shared" si="33"/>
        <v>6.6283516755719418E-2</v>
      </c>
      <c r="AK247" s="342">
        <v>0</v>
      </c>
      <c r="AL247" s="784">
        <f t="shared" si="34"/>
        <v>0</v>
      </c>
      <c r="AM247" s="350">
        <v>25.724634770628192</v>
      </c>
      <c r="AN247" s="350">
        <v>23.37460521782786</v>
      </c>
      <c r="AO247" s="350">
        <v>55.22839705204975</v>
      </c>
      <c r="AP247" s="639">
        <f t="shared" si="35"/>
        <v>1.7839990598624084E-2</v>
      </c>
    </row>
    <row r="248" spans="1:42" x14ac:dyDescent="0.2">
      <c r="A248" s="638">
        <v>42491</v>
      </c>
      <c r="B248" s="341" t="s">
        <v>137</v>
      </c>
      <c r="C248" s="351" t="s">
        <v>205</v>
      </c>
      <c r="D248" s="342">
        <v>0</v>
      </c>
      <c r="E248" s="342">
        <v>0</v>
      </c>
      <c r="F248" s="342">
        <v>0</v>
      </c>
      <c r="G248" s="342">
        <v>5.5</v>
      </c>
      <c r="H248" s="342">
        <v>0</v>
      </c>
      <c r="I248" s="342">
        <v>5.5</v>
      </c>
      <c r="J248" s="342">
        <v>0</v>
      </c>
      <c r="K248" s="343">
        <v>5.5</v>
      </c>
      <c r="L248" s="342">
        <v>0</v>
      </c>
      <c r="M248" s="342">
        <v>6863.7299979478103</v>
      </c>
      <c r="N248" s="354">
        <v>0</v>
      </c>
      <c r="O248" s="343" t="s">
        <v>311</v>
      </c>
      <c r="P248" s="343" t="s">
        <v>311</v>
      </c>
      <c r="Q248" s="343" t="s">
        <v>311</v>
      </c>
      <c r="R248" s="344" t="s">
        <v>312</v>
      </c>
      <c r="S248" s="344">
        <v>-8.0131357172331193E-4</v>
      </c>
      <c r="T248" s="343">
        <v>1713.44</v>
      </c>
      <c r="U248" s="342">
        <v>582</v>
      </c>
      <c r="V248" s="342">
        <v>582</v>
      </c>
      <c r="W248" s="344">
        <f t="shared" si="36"/>
        <v>1</v>
      </c>
      <c r="X248" s="342">
        <v>0</v>
      </c>
      <c r="Y248" s="344">
        <f t="shared" si="37"/>
        <v>0</v>
      </c>
      <c r="Z248" s="342">
        <v>0</v>
      </c>
      <c r="AA248" s="344">
        <f t="shared" si="29"/>
        <v>0</v>
      </c>
      <c r="AB248" s="342">
        <v>582</v>
      </c>
      <c r="AC248" s="344">
        <f t="shared" si="30"/>
        <v>1</v>
      </c>
      <c r="AD248" s="342">
        <v>1131.44</v>
      </c>
      <c r="AE248" s="342">
        <v>0</v>
      </c>
      <c r="AF248" s="344">
        <f t="shared" si="31"/>
        <v>0</v>
      </c>
      <c r="AG248" s="342">
        <v>0</v>
      </c>
      <c r="AH248" s="344">
        <f t="shared" si="32"/>
        <v>0</v>
      </c>
      <c r="AI248" s="342">
        <v>0</v>
      </c>
      <c r="AJ248" s="344">
        <f t="shared" si="33"/>
        <v>0</v>
      </c>
      <c r="AK248" s="342">
        <v>1131.44</v>
      </c>
      <c r="AL248" s="784">
        <f t="shared" si="34"/>
        <v>1</v>
      </c>
      <c r="AM248" s="350" t="s">
        <v>313</v>
      </c>
      <c r="AN248" s="350" t="s">
        <v>313</v>
      </c>
      <c r="AO248" s="350" t="s">
        <v>313</v>
      </c>
      <c r="AP248" s="639">
        <f t="shared" si="35"/>
        <v>0</v>
      </c>
    </row>
    <row r="249" spans="1:42" x14ac:dyDescent="0.2">
      <c r="A249" s="638">
        <v>42491</v>
      </c>
      <c r="B249" s="341" t="s">
        <v>137</v>
      </c>
      <c r="C249" s="351" t="s">
        <v>206</v>
      </c>
      <c r="D249" s="342">
        <v>205464.14000503201</v>
      </c>
      <c r="E249" s="342">
        <v>12892</v>
      </c>
      <c r="F249" s="342">
        <v>192572.14000503201</v>
      </c>
      <c r="G249" s="342">
        <v>130523.21007067</v>
      </c>
      <c r="H249" s="342">
        <v>68075.709973335295</v>
      </c>
      <c r="I249" s="342">
        <v>62447.500097334399</v>
      </c>
      <c r="J249" s="342">
        <v>3884.94999700785</v>
      </c>
      <c r="K249" s="343">
        <v>126638.26007366185</v>
      </c>
      <c r="L249" s="342">
        <v>63195.679945945703</v>
      </c>
      <c r="M249" s="342">
        <v>119073.269915868</v>
      </c>
      <c r="N249" s="354">
        <v>996</v>
      </c>
      <c r="O249" s="343">
        <v>206.28929719380724</v>
      </c>
      <c r="P249" s="343">
        <v>23.288343517287444</v>
      </c>
      <c r="Q249" s="343">
        <v>131.04739966934707</v>
      </c>
      <c r="R249" s="344">
        <v>0.63526029441182807</v>
      </c>
      <c r="S249" s="344">
        <v>6.7592743063987397</v>
      </c>
      <c r="T249" s="343">
        <v>240254.5</v>
      </c>
      <c r="U249" s="342">
        <v>184722.51</v>
      </c>
      <c r="V249" s="342">
        <v>40495.339999999997</v>
      </c>
      <c r="W249" s="344">
        <f t="shared" si="36"/>
        <v>0.21922255170742316</v>
      </c>
      <c r="X249" s="342">
        <v>7063.11</v>
      </c>
      <c r="Y249" s="344">
        <f t="shared" si="37"/>
        <v>3.8236325394235923E-2</v>
      </c>
      <c r="Z249" s="342">
        <v>4513</v>
      </c>
      <c r="AA249" s="344">
        <f t="shared" si="29"/>
        <v>2.4431240134188299E-2</v>
      </c>
      <c r="AB249" s="342">
        <v>22605.77</v>
      </c>
      <c r="AC249" s="344">
        <f t="shared" si="30"/>
        <v>0.12237691010153554</v>
      </c>
      <c r="AD249" s="342">
        <v>55531.99</v>
      </c>
      <c r="AE249" s="342">
        <v>4132.84</v>
      </c>
      <c r="AF249" s="344">
        <f t="shared" si="31"/>
        <v>7.4422688616057164E-2</v>
      </c>
      <c r="AG249" s="342">
        <v>4805.8100000000004</v>
      </c>
      <c r="AH249" s="344">
        <f t="shared" si="32"/>
        <v>8.6541289084003659E-2</v>
      </c>
      <c r="AI249" s="342">
        <v>5476.51</v>
      </c>
      <c r="AJ249" s="344">
        <f t="shared" si="33"/>
        <v>9.8619012212600346E-2</v>
      </c>
      <c r="AK249" s="342">
        <v>33654.83</v>
      </c>
      <c r="AL249" s="784">
        <f t="shared" si="34"/>
        <v>0.60604401174890365</v>
      </c>
      <c r="AM249" s="350">
        <v>34.606725477607533</v>
      </c>
      <c r="AN249" s="350">
        <v>27.992547510762595</v>
      </c>
      <c r="AO249" s="350">
        <v>161.69656410754149</v>
      </c>
      <c r="AP249" s="639">
        <f t="shared" si="35"/>
        <v>0.16748946540296911</v>
      </c>
    </row>
    <row r="250" spans="1:42" x14ac:dyDescent="0.2">
      <c r="A250" s="638">
        <v>42491</v>
      </c>
      <c r="B250" s="341" t="s">
        <v>137</v>
      </c>
      <c r="C250" s="351" t="s">
        <v>207</v>
      </c>
      <c r="D250" s="342">
        <v>0</v>
      </c>
      <c r="E250" s="342">
        <v>0</v>
      </c>
      <c r="F250" s="342">
        <v>0</v>
      </c>
      <c r="G250" s="342">
        <v>0</v>
      </c>
      <c r="H250" s="342">
        <v>0</v>
      </c>
      <c r="I250" s="342">
        <v>0</v>
      </c>
      <c r="J250" s="342">
        <v>0</v>
      </c>
      <c r="K250" s="343">
        <v>0</v>
      </c>
      <c r="L250" s="342">
        <v>0</v>
      </c>
      <c r="M250" s="342">
        <v>287.19999980926502</v>
      </c>
      <c r="N250" s="354">
        <v>0</v>
      </c>
      <c r="O250" s="343" t="s">
        <v>311</v>
      </c>
      <c r="P250" s="343" t="s">
        <v>311</v>
      </c>
      <c r="Q250" s="343" t="s">
        <v>311</v>
      </c>
      <c r="R250" s="344" t="s">
        <v>312</v>
      </c>
      <c r="S250" s="344">
        <v>0</v>
      </c>
      <c r="T250" s="343">
        <v>0</v>
      </c>
      <c r="U250" s="342">
        <v>0</v>
      </c>
      <c r="V250" s="342">
        <v>0</v>
      </c>
      <c r="W250" s="344" t="str">
        <f t="shared" si="36"/>
        <v>0.00%</v>
      </c>
      <c r="X250" s="342">
        <v>0</v>
      </c>
      <c r="Y250" s="344" t="str">
        <f t="shared" si="37"/>
        <v>0.00%</v>
      </c>
      <c r="Z250" s="342">
        <v>0</v>
      </c>
      <c r="AA250" s="344">
        <f t="shared" si="29"/>
        <v>0</v>
      </c>
      <c r="AB250" s="342">
        <v>0</v>
      </c>
      <c r="AC250" s="344" t="str">
        <f t="shared" si="30"/>
        <v>0.00%</v>
      </c>
      <c r="AD250" s="342">
        <v>0</v>
      </c>
      <c r="AE250" s="342">
        <v>0</v>
      </c>
      <c r="AF250" s="344" t="str">
        <f t="shared" si="31"/>
        <v>0.00%</v>
      </c>
      <c r="AG250" s="342">
        <v>0</v>
      </c>
      <c r="AH250" s="344" t="str">
        <f t="shared" si="32"/>
        <v>0.00%</v>
      </c>
      <c r="AI250" s="342">
        <v>0</v>
      </c>
      <c r="AJ250" s="344">
        <f t="shared" si="33"/>
        <v>0</v>
      </c>
      <c r="AK250" s="342">
        <v>0</v>
      </c>
      <c r="AL250" s="784" t="str">
        <f t="shared" si="34"/>
        <v>0.00%</v>
      </c>
      <c r="AM250" s="350" t="s">
        <v>313</v>
      </c>
      <c r="AN250" s="350" t="s">
        <v>313</v>
      </c>
      <c r="AO250" s="350" t="s">
        <v>313</v>
      </c>
      <c r="AP250" s="639">
        <f t="shared" si="35"/>
        <v>0</v>
      </c>
    </row>
    <row r="251" spans="1:42" x14ac:dyDescent="0.2">
      <c r="A251" s="638">
        <v>42491</v>
      </c>
      <c r="B251" s="341" t="s">
        <v>137</v>
      </c>
      <c r="C251" s="351" t="s">
        <v>208</v>
      </c>
      <c r="D251" s="342">
        <v>166865.44000249699</v>
      </c>
      <c r="E251" s="342">
        <v>5921</v>
      </c>
      <c r="F251" s="342">
        <v>160944.44000249699</v>
      </c>
      <c r="G251" s="342">
        <v>88258.699978426099</v>
      </c>
      <c r="H251" s="342">
        <v>47407.599928259799</v>
      </c>
      <c r="I251" s="342">
        <v>40851.100050166198</v>
      </c>
      <c r="J251" s="342">
        <v>1287.3799996375999</v>
      </c>
      <c r="K251" s="343">
        <v>86971.319978788393</v>
      </c>
      <c r="L251" s="342">
        <v>48340.010036289699</v>
      </c>
      <c r="M251" s="342">
        <v>98093.979887742506</v>
      </c>
      <c r="N251" s="354">
        <v>885</v>
      </c>
      <c r="O251" s="343">
        <v>188.54851977683276</v>
      </c>
      <c r="P251" s="343">
        <v>23.086384269451749</v>
      </c>
      <c r="Q251" s="343">
        <v>99.72734460839095</v>
      </c>
      <c r="R251" s="344">
        <v>0.52892138705956893</v>
      </c>
      <c r="S251" s="344">
        <v>4.6102369880079808</v>
      </c>
      <c r="T251" s="343">
        <v>200468.54</v>
      </c>
      <c r="U251" s="342">
        <v>154787.51</v>
      </c>
      <c r="V251" s="342">
        <v>33716.22</v>
      </c>
      <c r="W251" s="344">
        <f t="shared" si="36"/>
        <v>0.21782261372380757</v>
      </c>
      <c r="X251" s="342">
        <v>5921.04</v>
      </c>
      <c r="Y251" s="344">
        <f t="shared" si="37"/>
        <v>3.8252698812714279E-2</v>
      </c>
      <c r="Z251" s="342">
        <v>3335.51</v>
      </c>
      <c r="AA251" s="344">
        <f t="shared" si="29"/>
        <v>2.1548960894842227E-2</v>
      </c>
      <c r="AB251" s="342">
        <v>15479.57</v>
      </c>
      <c r="AC251" s="344">
        <f t="shared" si="30"/>
        <v>0.1000052911245875</v>
      </c>
      <c r="AD251" s="342">
        <v>45681.03</v>
      </c>
      <c r="AE251" s="342">
        <v>3618.6</v>
      </c>
      <c r="AF251" s="344">
        <f t="shared" si="31"/>
        <v>7.9214501074078236E-2</v>
      </c>
      <c r="AG251" s="342">
        <v>3481.98</v>
      </c>
      <c r="AH251" s="344">
        <f t="shared" si="32"/>
        <v>7.6223762905521172E-2</v>
      </c>
      <c r="AI251" s="342">
        <v>4261.9399999999996</v>
      </c>
      <c r="AJ251" s="344">
        <f t="shared" si="33"/>
        <v>9.3297808740302038E-2</v>
      </c>
      <c r="AK251" s="342">
        <v>25901.98</v>
      </c>
      <c r="AL251" s="784">
        <f t="shared" si="34"/>
        <v>0.56701830059436054</v>
      </c>
      <c r="AM251" s="350">
        <v>37.861043127393636</v>
      </c>
      <c r="AN251" s="350">
        <v>30.452299035129386</v>
      </c>
      <c r="AO251" s="350">
        <v>215.57824445493156</v>
      </c>
      <c r="AP251" s="639">
        <f t="shared" si="35"/>
        <v>6.3009722496129975E-2</v>
      </c>
    </row>
    <row r="252" spans="1:42" x14ac:dyDescent="0.2">
      <c r="A252" s="638">
        <v>42522</v>
      </c>
      <c r="B252" s="341" t="s">
        <v>133</v>
      </c>
      <c r="C252" s="351" t="s">
        <v>161</v>
      </c>
      <c r="D252" s="342">
        <v>0</v>
      </c>
      <c r="E252" s="342">
        <v>0</v>
      </c>
      <c r="F252" s="342">
        <v>0</v>
      </c>
      <c r="G252" s="342">
        <v>5</v>
      </c>
      <c r="H252" s="342">
        <v>0</v>
      </c>
      <c r="I252" s="342">
        <v>5</v>
      </c>
      <c r="J252" s="342">
        <v>0</v>
      </c>
      <c r="K252" s="343">
        <v>5</v>
      </c>
      <c r="L252" s="342">
        <v>0</v>
      </c>
      <c r="M252" s="342">
        <v>334.91999816894503</v>
      </c>
      <c r="N252" s="354">
        <v>0</v>
      </c>
      <c r="O252" s="343" t="s">
        <v>311</v>
      </c>
      <c r="P252" s="343" t="s">
        <v>311</v>
      </c>
      <c r="Q252" s="343" t="s">
        <v>311</v>
      </c>
      <c r="R252" s="344" t="s">
        <v>312</v>
      </c>
      <c r="S252" s="344">
        <v>-1.4928938335529997E-2</v>
      </c>
      <c r="T252" s="343">
        <v>762.12999999999988</v>
      </c>
      <c r="U252" s="342">
        <v>-333.49</v>
      </c>
      <c r="V252" s="342">
        <v>0</v>
      </c>
      <c r="W252" s="344">
        <v>0</v>
      </c>
      <c r="X252" s="342">
        <v>0</v>
      </c>
      <c r="Y252" s="344">
        <f t="shared" si="37"/>
        <v>0</v>
      </c>
      <c r="Z252" s="342">
        <v>0</v>
      </c>
      <c r="AA252" s="344">
        <f t="shared" si="29"/>
        <v>0</v>
      </c>
      <c r="AB252" s="342">
        <v>-333.49</v>
      </c>
      <c r="AC252" s="344">
        <v>0</v>
      </c>
      <c r="AD252" s="342">
        <v>1095.6199999999999</v>
      </c>
      <c r="AE252" s="342">
        <v>0</v>
      </c>
      <c r="AF252" s="344">
        <f t="shared" si="31"/>
        <v>0</v>
      </c>
      <c r="AG252" s="342">
        <v>0</v>
      </c>
      <c r="AH252" s="344">
        <f t="shared" si="32"/>
        <v>0</v>
      </c>
      <c r="AI252" s="342">
        <v>0</v>
      </c>
      <c r="AJ252" s="344">
        <f t="shared" si="33"/>
        <v>0</v>
      </c>
      <c r="AK252" s="342">
        <v>1095.6199999999999</v>
      </c>
      <c r="AL252" s="784">
        <f t="shared" si="34"/>
        <v>1</v>
      </c>
      <c r="AM252" s="350" t="s">
        <v>313</v>
      </c>
      <c r="AN252" s="350" t="s">
        <v>313</v>
      </c>
      <c r="AO252" s="350" t="s">
        <v>313</v>
      </c>
      <c r="AP252" s="639">
        <f t="shared" si="35"/>
        <v>0</v>
      </c>
    </row>
    <row r="253" spans="1:42" x14ac:dyDescent="0.2">
      <c r="A253" s="638">
        <v>42522</v>
      </c>
      <c r="B253" s="341" t="s">
        <v>133</v>
      </c>
      <c r="C253" s="351" t="s">
        <v>162</v>
      </c>
      <c r="D253" s="342">
        <v>165080.030006446</v>
      </c>
      <c r="E253" s="342">
        <v>8446</v>
      </c>
      <c r="F253" s="342">
        <v>156634.030006446</v>
      </c>
      <c r="G253" s="342">
        <v>120223.48016667399</v>
      </c>
      <c r="H253" s="342">
        <v>69688.550091028199</v>
      </c>
      <c r="I253" s="342">
        <v>50534.930075645403</v>
      </c>
      <c r="J253" s="342">
        <v>5896.6900196075403</v>
      </c>
      <c r="K253" s="343">
        <v>114326.79014706606</v>
      </c>
      <c r="L253" s="342">
        <v>65111.180002689398</v>
      </c>
      <c r="M253" s="342">
        <v>7507.43001377583</v>
      </c>
      <c r="N253" s="354">
        <v>875</v>
      </c>
      <c r="O253" s="343">
        <v>188.66289143593829</v>
      </c>
      <c r="P253" s="343">
        <v>105.67019427426375</v>
      </c>
      <c r="Q253" s="343">
        <v>137.39826304762698</v>
      </c>
      <c r="R253" s="344">
        <v>0.72827391757791138</v>
      </c>
      <c r="S253" s="344">
        <v>1.3888275306561928</v>
      </c>
      <c r="T253" s="343">
        <v>166895.65</v>
      </c>
      <c r="U253" s="342">
        <v>125956.34999999999</v>
      </c>
      <c r="V253" s="342">
        <v>3195.74</v>
      </c>
      <c r="W253" s="344">
        <f t="shared" si="36"/>
        <v>2.537180539131215E-2</v>
      </c>
      <c r="X253" s="342">
        <v>1878.14</v>
      </c>
      <c r="Y253" s="344">
        <f t="shared" si="37"/>
        <v>1.4911038625682629E-2</v>
      </c>
      <c r="Z253" s="342">
        <v>1619.38</v>
      </c>
      <c r="AA253" s="344">
        <f t="shared" si="29"/>
        <v>1.2856676142171477E-2</v>
      </c>
      <c r="AB253" s="342">
        <v>18154.04</v>
      </c>
      <c r="AC253" s="344">
        <f t="shared" si="30"/>
        <v>0.14412961315566863</v>
      </c>
      <c r="AD253" s="342">
        <v>40939.300000000003</v>
      </c>
      <c r="AE253" s="342">
        <v>4348.66</v>
      </c>
      <c r="AF253" s="344">
        <f t="shared" si="31"/>
        <v>0.1062221386296297</v>
      </c>
      <c r="AG253" s="342">
        <v>4770.8</v>
      </c>
      <c r="AH253" s="344">
        <f t="shared" si="32"/>
        <v>0.11653350203838365</v>
      </c>
      <c r="AI253" s="342">
        <v>5013.93</v>
      </c>
      <c r="AJ253" s="344">
        <f t="shared" si="33"/>
        <v>0.1224722943479737</v>
      </c>
      <c r="AK253" s="342">
        <v>20395.22</v>
      </c>
      <c r="AL253" s="784">
        <f t="shared" si="34"/>
        <v>0.4981819425344351</v>
      </c>
      <c r="AM253" s="350">
        <v>28.750685551872621</v>
      </c>
      <c r="AN253" s="350">
        <v>22.860030043512669</v>
      </c>
      <c r="AO253" s="350">
        <v>138.76160885775619</v>
      </c>
      <c r="AP253" s="639">
        <f t="shared" si="35"/>
        <v>6.3774599397743534E-2</v>
      </c>
    </row>
    <row r="254" spans="1:42" x14ac:dyDescent="0.2">
      <c r="A254" s="638">
        <v>42522</v>
      </c>
      <c r="B254" s="341" t="s">
        <v>133</v>
      </c>
      <c r="C254" s="351" t="s">
        <v>163</v>
      </c>
      <c r="D254" s="342">
        <v>0</v>
      </c>
      <c r="E254" s="342">
        <v>0</v>
      </c>
      <c r="F254" s="342">
        <v>0</v>
      </c>
      <c r="G254" s="342">
        <v>0</v>
      </c>
      <c r="H254" s="342">
        <v>0</v>
      </c>
      <c r="I254" s="342">
        <v>0</v>
      </c>
      <c r="J254" s="342">
        <v>5</v>
      </c>
      <c r="K254" s="343">
        <v>-5</v>
      </c>
      <c r="L254" s="342">
        <v>0</v>
      </c>
      <c r="M254" s="342">
        <v>126.90000152587901</v>
      </c>
      <c r="N254" s="354">
        <v>0</v>
      </c>
      <c r="O254" s="343" t="s">
        <v>311</v>
      </c>
      <c r="P254" s="343" t="s">
        <v>311</v>
      </c>
      <c r="Q254" s="343" t="s">
        <v>311</v>
      </c>
      <c r="R254" s="344" t="s">
        <v>312</v>
      </c>
      <c r="S254" s="344">
        <v>0</v>
      </c>
      <c r="T254" s="343">
        <v>928.57</v>
      </c>
      <c r="U254" s="342">
        <v>66</v>
      </c>
      <c r="V254" s="342">
        <v>0</v>
      </c>
      <c r="W254" s="344">
        <f t="shared" si="36"/>
        <v>0</v>
      </c>
      <c r="X254" s="342">
        <v>0</v>
      </c>
      <c r="Y254" s="344">
        <f t="shared" si="37"/>
        <v>0</v>
      </c>
      <c r="Z254" s="342">
        <v>0</v>
      </c>
      <c r="AA254" s="344">
        <f t="shared" si="29"/>
        <v>0</v>
      </c>
      <c r="AB254" s="342">
        <v>66</v>
      </c>
      <c r="AC254" s="344">
        <f t="shared" si="30"/>
        <v>1</v>
      </c>
      <c r="AD254" s="342">
        <v>862.57</v>
      </c>
      <c r="AE254" s="342">
        <v>0</v>
      </c>
      <c r="AF254" s="344">
        <f t="shared" si="31"/>
        <v>0</v>
      </c>
      <c r="AG254" s="342">
        <v>0</v>
      </c>
      <c r="AH254" s="344">
        <f t="shared" si="32"/>
        <v>0</v>
      </c>
      <c r="AI254" s="342">
        <v>0</v>
      </c>
      <c r="AJ254" s="344">
        <f t="shared" si="33"/>
        <v>0</v>
      </c>
      <c r="AK254" s="342">
        <v>862.57</v>
      </c>
      <c r="AL254" s="784">
        <f t="shared" si="34"/>
        <v>1</v>
      </c>
      <c r="AM254" s="350" t="s">
        <v>313</v>
      </c>
      <c r="AN254" s="350" t="s">
        <v>313</v>
      </c>
      <c r="AO254" s="350" t="s">
        <v>313</v>
      </c>
      <c r="AP254" s="639">
        <f t="shared" si="35"/>
        <v>-3.9401102757121234E-2</v>
      </c>
    </row>
    <row r="255" spans="1:42" x14ac:dyDescent="0.2">
      <c r="A255" s="638">
        <v>42522</v>
      </c>
      <c r="B255" s="341" t="s">
        <v>133</v>
      </c>
      <c r="C255" s="351" t="s">
        <v>164</v>
      </c>
      <c r="D255" s="342">
        <v>182098.95000680699</v>
      </c>
      <c r="E255" s="342">
        <v>11258</v>
      </c>
      <c r="F255" s="342">
        <v>170840.95000680699</v>
      </c>
      <c r="G255" s="342">
        <v>129210.350268006</v>
      </c>
      <c r="H255" s="342">
        <v>71487.870162397594</v>
      </c>
      <c r="I255" s="342">
        <v>57722.480105608702</v>
      </c>
      <c r="J255" s="342">
        <v>5271.7499980926495</v>
      </c>
      <c r="K255" s="343">
        <v>123938.60026991364</v>
      </c>
      <c r="L255" s="342">
        <v>76253.740038603501</v>
      </c>
      <c r="M255" s="342">
        <v>4466.5600156784103</v>
      </c>
      <c r="N255" s="354">
        <v>844</v>
      </c>
      <c r="O255" s="343">
        <v>215.75704977109834</v>
      </c>
      <c r="P255" s="343">
        <v>120.11688383000602</v>
      </c>
      <c r="Q255" s="343">
        <v>153.09283207109752</v>
      </c>
      <c r="R255" s="344">
        <v>0.70956120429676461</v>
      </c>
      <c r="S255" s="344">
        <v>1.3444440547897116</v>
      </c>
      <c r="T255" s="343">
        <v>186092.57</v>
      </c>
      <c r="U255" s="342">
        <v>145025.21</v>
      </c>
      <c r="V255" s="342">
        <v>4961.38</v>
      </c>
      <c r="W255" s="344">
        <f t="shared" si="36"/>
        <v>3.4210465890723414E-2</v>
      </c>
      <c r="X255" s="342">
        <v>661.53</v>
      </c>
      <c r="Y255" s="344">
        <f t="shared" si="37"/>
        <v>4.5614827932329832E-3</v>
      </c>
      <c r="Z255" s="342">
        <v>2791.52</v>
      </c>
      <c r="AA255" s="344">
        <f t="shared" si="29"/>
        <v>1.924851548223926E-2</v>
      </c>
      <c r="AB255" s="342">
        <v>21639.58</v>
      </c>
      <c r="AC255" s="344">
        <f t="shared" si="30"/>
        <v>0.14921254035763853</v>
      </c>
      <c r="AD255" s="342">
        <v>41067.360000000001</v>
      </c>
      <c r="AE255" s="342">
        <v>4580.6099999999997</v>
      </c>
      <c r="AF255" s="344">
        <f t="shared" si="31"/>
        <v>0.11153894479703588</v>
      </c>
      <c r="AG255" s="342">
        <v>3748.26</v>
      </c>
      <c r="AH255" s="344">
        <f t="shared" si="32"/>
        <v>9.127102399569878E-2</v>
      </c>
      <c r="AI255" s="342">
        <v>3472.74</v>
      </c>
      <c r="AJ255" s="344">
        <f t="shared" si="33"/>
        <v>8.4562046355061538E-2</v>
      </c>
      <c r="AK255" s="342">
        <v>18473.21</v>
      </c>
      <c r="AL255" s="784">
        <f t="shared" si="34"/>
        <v>0.44982706460800009</v>
      </c>
      <c r="AM255" s="350">
        <v>29.12950387542184</v>
      </c>
      <c r="AN255" s="350">
        <v>24.195911548892518</v>
      </c>
      <c r="AO255" s="350">
        <v>104.0558108108108</v>
      </c>
      <c r="AP255" s="639">
        <f t="shared" si="35"/>
        <v>5.2000593818929068E-2</v>
      </c>
    </row>
    <row r="256" spans="1:42" x14ac:dyDescent="0.2">
      <c r="A256" s="638">
        <v>42522</v>
      </c>
      <c r="B256" s="341" t="s">
        <v>133</v>
      </c>
      <c r="C256" s="351" t="s">
        <v>165</v>
      </c>
      <c r="D256" s="342">
        <v>0</v>
      </c>
      <c r="E256" s="342">
        <v>0</v>
      </c>
      <c r="F256" s="342">
        <v>0</v>
      </c>
      <c r="G256" s="342">
        <v>0</v>
      </c>
      <c r="H256" s="342">
        <v>0</v>
      </c>
      <c r="I256" s="342">
        <v>0</v>
      </c>
      <c r="J256" s="342">
        <v>22.64999961853</v>
      </c>
      <c r="K256" s="343">
        <v>-22.64999961853</v>
      </c>
      <c r="L256" s="342">
        <v>0</v>
      </c>
      <c r="M256" s="342">
        <v>0</v>
      </c>
      <c r="N256" s="354">
        <v>0</v>
      </c>
      <c r="O256" s="343" t="s">
        <v>311</v>
      </c>
      <c r="P256" s="343" t="s">
        <v>311</v>
      </c>
      <c r="Q256" s="343" t="s">
        <v>311</v>
      </c>
      <c r="R256" s="344" t="s">
        <v>312</v>
      </c>
      <c r="S256" s="344">
        <v>0</v>
      </c>
      <c r="T256" s="343">
        <v>1073.68</v>
      </c>
      <c r="U256" s="342">
        <v>1123</v>
      </c>
      <c r="V256" s="342">
        <v>0</v>
      </c>
      <c r="W256" s="344">
        <f t="shared" si="36"/>
        <v>0</v>
      </c>
      <c r="X256" s="342">
        <v>0</v>
      </c>
      <c r="Y256" s="344">
        <f t="shared" si="37"/>
        <v>0</v>
      </c>
      <c r="Z256" s="342">
        <v>0</v>
      </c>
      <c r="AA256" s="344">
        <f t="shared" si="29"/>
        <v>0</v>
      </c>
      <c r="AB256" s="342">
        <v>1123</v>
      </c>
      <c r="AC256" s="344">
        <f t="shared" si="30"/>
        <v>1</v>
      </c>
      <c r="AD256" s="342">
        <v>-49.32</v>
      </c>
      <c r="AE256" s="342">
        <v>0</v>
      </c>
      <c r="AF256" s="344">
        <f t="shared" si="31"/>
        <v>0</v>
      </c>
      <c r="AG256" s="342">
        <v>0</v>
      </c>
      <c r="AH256" s="344">
        <f t="shared" si="32"/>
        <v>0</v>
      </c>
      <c r="AI256" s="342">
        <v>0</v>
      </c>
      <c r="AJ256" s="344">
        <f t="shared" si="33"/>
        <v>0</v>
      </c>
      <c r="AK256" s="342">
        <v>-49.32</v>
      </c>
      <c r="AL256" s="784">
        <f t="shared" si="34"/>
        <v>1</v>
      </c>
      <c r="AM256" s="350" t="s">
        <v>313</v>
      </c>
      <c r="AN256" s="350" t="s">
        <v>313</v>
      </c>
      <c r="AO256" s="350" t="s">
        <v>313</v>
      </c>
      <c r="AP256" s="639" t="str">
        <f t="shared" si="35"/>
        <v>0.00%</v>
      </c>
    </row>
    <row r="257" spans="1:42" x14ac:dyDescent="0.2">
      <c r="A257" s="638">
        <v>42522</v>
      </c>
      <c r="B257" s="341" t="s">
        <v>133</v>
      </c>
      <c r="C257" s="351" t="s">
        <v>166</v>
      </c>
      <c r="D257" s="342">
        <v>352951.08002354897</v>
      </c>
      <c r="E257" s="342">
        <v>17710</v>
      </c>
      <c r="F257" s="342">
        <v>335241.08002354897</v>
      </c>
      <c r="G257" s="342">
        <v>254215.20025840399</v>
      </c>
      <c r="H257" s="342">
        <v>142492.96008172599</v>
      </c>
      <c r="I257" s="342">
        <v>111722.24017667799</v>
      </c>
      <c r="J257" s="342">
        <v>11266.2000161409</v>
      </c>
      <c r="K257" s="343">
        <v>242949.00024226308</v>
      </c>
      <c r="L257" s="342">
        <v>153886.93997716901</v>
      </c>
      <c r="M257" s="342">
        <v>8324.4099657721799</v>
      </c>
      <c r="N257" s="354">
        <v>1594</v>
      </c>
      <c r="O257" s="343">
        <v>221.4247678943218</v>
      </c>
      <c r="P257" s="343">
        <v>119.66106027641642</v>
      </c>
      <c r="Q257" s="343">
        <v>159.48255976060477</v>
      </c>
      <c r="R257" s="344">
        <v>0.7202561902953879</v>
      </c>
      <c r="S257" s="344">
        <v>1.4164495464433664</v>
      </c>
      <c r="T257" s="343">
        <v>324615.07999999996</v>
      </c>
      <c r="U257" s="342">
        <v>236478.96</v>
      </c>
      <c r="V257" s="342">
        <v>6245.73</v>
      </c>
      <c r="W257" s="344">
        <f t="shared" si="36"/>
        <v>2.6411356003933711E-2</v>
      </c>
      <c r="X257" s="342">
        <v>7100.74</v>
      </c>
      <c r="Y257" s="344">
        <f t="shared" si="37"/>
        <v>3.0026941931747334E-2</v>
      </c>
      <c r="Z257" s="342">
        <v>2007.14</v>
      </c>
      <c r="AA257" s="344">
        <f t="shared" si="29"/>
        <v>8.4876049860841754E-3</v>
      </c>
      <c r="AB257" s="342">
        <v>19584.990000000002</v>
      </c>
      <c r="AC257" s="344">
        <f t="shared" si="30"/>
        <v>8.2819164969264086E-2</v>
      </c>
      <c r="AD257" s="342">
        <v>88136.12</v>
      </c>
      <c r="AE257" s="342">
        <v>11948.95</v>
      </c>
      <c r="AF257" s="344">
        <f t="shared" si="31"/>
        <v>0.1355738146857384</v>
      </c>
      <c r="AG257" s="342">
        <v>8505.31</v>
      </c>
      <c r="AH257" s="344">
        <f t="shared" si="32"/>
        <v>9.6501978984325609E-2</v>
      </c>
      <c r="AI257" s="342">
        <v>10988.47</v>
      </c>
      <c r="AJ257" s="344">
        <f t="shared" si="33"/>
        <v>0.12467612597423168</v>
      </c>
      <c r="AK257" s="342">
        <v>46131.7</v>
      </c>
      <c r="AL257" s="784">
        <f t="shared" si="34"/>
        <v>0.52341423697798362</v>
      </c>
      <c r="AM257" s="350">
        <v>25.563999509539713</v>
      </c>
      <c r="AN257" s="350">
        <v>19.651936515902754</v>
      </c>
      <c r="AO257" s="350">
        <v>132.58201665045144</v>
      </c>
      <c r="AP257" s="639">
        <f t="shared" si="35"/>
        <v>5.9065827614308432E-2</v>
      </c>
    </row>
    <row r="258" spans="1:42" x14ac:dyDescent="0.2">
      <c r="A258" s="638">
        <v>42522</v>
      </c>
      <c r="B258" s="341" t="s">
        <v>133</v>
      </c>
      <c r="C258" s="351" t="s">
        <v>167</v>
      </c>
      <c r="D258" s="342">
        <v>0</v>
      </c>
      <c r="E258" s="342">
        <v>0</v>
      </c>
      <c r="F258" s="342">
        <v>0</v>
      </c>
      <c r="G258" s="342">
        <v>507.549996376038</v>
      </c>
      <c r="H258" s="342">
        <v>255.25</v>
      </c>
      <c r="I258" s="342">
        <v>252.299996376038</v>
      </c>
      <c r="J258" s="342">
        <v>123.889999389648</v>
      </c>
      <c r="K258" s="343">
        <v>383.65999698639001</v>
      </c>
      <c r="L258" s="342">
        <v>-5.25</v>
      </c>
      <c r="M258" s="342">
        <v>1533.42000113428</v>
      </c>
      <c r="N258" s="354">
        <v>0</v>
      </c>
      <c r="O258" s="343" t="s">
        <v>311</v>
      </c>
      <c r="P258" s="343" t="s">
        <v>311</v>
      </c>
      <c r="Q258" s="343" t="s">
        <v>311</v>
      </c>
      <c r="R258" s="344" t="s">
        <v>312</v>
      </c>
      <c r="S258" s="344">
        <v>-0.30722249568119531</v>
      </c>
      <c r="T258" s="343">
        <v>6976.35</v>
      </c>
      <c r="U258" s="342">
        <v>949.09</v>
      </c>
      <c r="V258" s="342">
        <v>0</v>
      </c>
      <c r="W258" s="344">
        <f t="shared" si="36"/>
        <v>0</v>
      </c>
      <c r="X258" s="342">
        <v>0</v>
      </c>
      <c r="Y258" s="344">
        <f t="shared" si="37"/>
        <v>0</v>
      </c>
      <c r="Z258" s="342">
        <v>0</v>
      </c>
      <c r="AA258" s="344">
        <f t="shared" ref="AA258:AA321" si="38">IFERROR(Z258/U258,"0.00"%)</f>
        <v>0</v>
      </c>
      <c r="AB258" s="342">
        <v>949.09</v>
      </c>
      <c r="AC258" s="344">
        <f t="shared" ref="AC258:AC321" si="39">IFERROR(AB258/U258,"0.00%")</f>
        <v>1</v>
      </c>
      <c r="AD258" s="342">
        <v>6027.26</v>
      </c>
      <c r="AE258" s="342">
        <v>0</v>
      </c>
      <c r="AF258" s="344">
        <f t="shared" ref="AF258:AF321" si="40">IFERROR(AE258/AD258,"0.00%")</f>
        <v>0</v>
      </c>
      <c r="AG258" s="342">
        <v>0</v>
      </c>
      <c r="AH258" s="344">
        <f t="shared" ref="AH258:AH321" si="41">IFERROR(AG258/AD258,"0.00%")</f>
        <v>0</v>
      </c>
      <c r="AI258" s="342">
        <v>0</v>
      </c>
      <c r="AJ258" s="344">
        <f t="shared" ref="AJ258:AJ321" si="42">IFERROR(AI258/AD258,"0.00"%)</f>
        <v>0</v>
      </c>
      <c r="AK258" s="342">
        <v>6027.26</v>
      </c>
      <c r="AL258" s="784">
        <f t="shared" ref="AL258:AL321" si="43">IFERROR(AK258/AD258,"0.00%")</f>
        <v>1</v>
      </c>
      <c r="AM258" s="350" t="s">
        <v>313</v>
      </c>
      <c r="AN258" s="350" t="s">
        <v>313</v>
      </c>
      <c r="AO258" s="350" t="s">
        <v>313</v>
      </c>
      <c r="AP258" s="639">
        <f t="shared" ref="AP258:AP321" si="44">IFERROR(J258/(D258-L258-M258),"0.00%")</f>
        <v>-8.1070822812704724E-2</v>
      </c>
    </row>
    <row r="259" spans="1:42" x14ac:dyDescent="0.2">
      <c r="A259" s="638">
        <v>42522</v>
      </c>
      <c r="B259" s="341" t="s">
        <v>133</v>
      </c>
      <c r="C259" s="351" t="s">
        <v>168</v>
      </c>
      <c r="D259" s="342">
        <v>0</v>
      </c>
      <c r="E259" s="342">
        <v>0</v>
      </c>
      <c r="F259" s="342">
        <v>0</v>
      </c>
      <c r="G259" s="342">
        <v>0</v>
      </c>
      <c r="H259" s="342">
        <v>0</v>
      </c>
      <c r="I259" s="342">
        <v>0</v>
      </c>
      <c r="J259" s="342">
        <v>0</v>
      </c>
      <c r="K259" s="343">
        <v>0</v>
      </c>
      <c r="L259" s="342">
        <v>0</v>
      </c>
      <c r="M259" s="342">
        <v>0</v>
      </c>
      <c r="N259" s="354">
        <v>0</v>
      </c>
      <c r="O259" s="343" t="s">
        <v>311</v>
      </c>
      <c r="P259" s="343" t="s">
        <v>311</v>
      </c>
      <c r="Q259" s="343" t="s">
        <v>311</v>
      </c>
      <c r="R259" s="344" t="s">
        <v>312</v>
      </c>
      <c r="S259" s="344" t="s">
        <v>312</v>
      </c>
      <c r="T259" s="343">
        <v>0</v>
      </c>
      <c r="U259" s="342">
        <v>0</v>
      </c>
      <c r="V259" s="342">
        <v>0</v>
      </c>
      <c r="W259" s="344" t="str">
        <f t="shared" ref="W259:W321" si="45">IFERROR(V259/U259,"0.00%")</f>
        <v>0.00%</v>
      </c>
      <c r="X259" s="342">
        <v>0</v>
      </c>
      <c r="Y259" s="344" t="str">
        <f t="shared" ref="Y259:Y322" si="46">IFERROR(X259/U259,"0.00%")</f>
        <v>0.00%</v>
      </c>
      <c r="Z259" s="342">
        <v>0</v>
      </c>
      <c r="AA259" s="344">
        <f t="shared" si="38"/>
        <v>0</v>
      </c>
      <c r="AB259" s="342">
        <v>0</v>
      </c>
      <c r="AC259" s="344" t="str">
        <f t="shared" si="39"/>
        <v>0.00%</v>
      </c>
      <c r="AD259" s="342">
        <v>0</v>
      </c>
      <c r="AE259" s="342">
        <v>0</v>
      </c>
      <c r="AF259" s="344" t="str">
        <f t="shared" si="40"/>
        <v>0.00%</v>
      </c>
      <c r="AG259" s="342">
        <v>0</v>
      </c>
      <c r="AH259" s="344" t="str">
        <f t="shared" si="41"/>
        <v>0.00%</v>
      </c>
      <c r="AI259" s="342">
        <v>0</v>
      </c>
      <c r="AJ259" s="344">
        <f t="shared" si="42"/>
        <v>0</v>
      </c>
      <c r="AK259" s="342">
        <v>0</v>
      </c>
      <c r="AL259" s="784" t="str">
        <f t="shared" si="43"/>
        <v>0.00%</v>
      </c>
      <c r="AM259" s="350" t="s">
        <v>313</v>
      </c>
      <c r="AN259" s="350" t="s">
        <v>313</v>
      </c>
      <c r="AO259" s="350" t="s">
        <v>313</v>
      </c>
      <c r="AP259" s="639" t="str">
        <f t="shared" si="44"/>
        <v>0.00%</v>
      </c>
    </row>
    <row r="260" spans="1:42" x14ac:dyDescent="0.2">
      <c r="A260" s="638">
        <v>42522</v>
      </c>
      <c r="B260" s="341" t="s">
        <v>133</v>
      </c>
      <c r="C260" s="351" t="s">
        <v>169</v>
      </c>
      <c r="D260" s="342">
        <v>220011.35001065599</v>
      </c>
      <c r="E260" s="342">
        <v>10935</v>
      </c>
      <c r="F260" s="342">
        <v>209076.35001065599</v>
      </c>
      <c r="G260" s="342">
        <v>168729.88007061201</v>
      </c>
      <c r="H260" s="342">
        <v>103057.950006887</v>
      </c>
      <c r="I260" s="342">
        <v>65671.930063724503</v>
      </c>
      <c r="J260" s="342">
        <v>5984.8500037193298</v>
      </c>
      <c r="K260" s="343">
        <v>162745.03006689216</v>
      </c>
      <c r="L260" s="342">
        <v>97985.710114048794</v>
      </c>
      <c r="M260" s="342">
        <v>7057.8999818563498</v>
      </c>
      <c r="N260" s="354">
        <v>1131</v>
      </c>
      <c r="O260" s="343">
        <v>194.52816092896197</v>
      </c>
      <c r="P260" s="343">
        <v>101.65140576016874</v>
      </c>
      <c r="Q260" s="343">
        <v>149.18645452750795</v>
      </c>
      <c r="R260" s="344">
        <v>0.76691443447094543</v>
      </c>
      <c r="S260" s="344">
        <v>1.5482235808607625</v>
      </c>
      <c r="T260" s="343">
        <v>250094.11</v>
      </c>
      <c r="U260" s="342">
        <v>189562.33</v>
      </c>
      <c r="V260" s="342">
        <v>5604.77</v>
      </c>
      <c r="W260" s="344">
        <f t="shared" si="45"/>
        <v>2.956689760038295E-2</v>
      </c>
      <c r="X260" s="342">
        <v>4797.1899999999996</v>
      </c>
      <c r="Y260" s="344">
        <f t="shared" si="46"/>
        <v>2.5306662985203864E-2</v>
      </c>
      <c r="Z260" s="342">
        <v>2485.6999999999998</v>
      </c>
      <c r="AA260" s="344">
        <f t="shared" si="38"/>
        <v>1.3112837344845888E-2</v>
      </c>
      <c r="AB260" s="342">
        <v>14872.23</v>
      </c>
      <c r="AC260" s="344">
        <f t="shared" si="39"/>
        <v>7.8455619320568604E-2</v>
      </c>
      <c r="AD260" s="342">
        <v>60531.78</v>
      </c>
      <c r="AE260" s="342">
        <v>6872.76</v>
      </c>
      <c r="AF260" s="344">
        <f t="shared" si="40"/>
        <v>0.1135396976596426</v>
      </c>
      <c r="AG260" s="342">
        <v>5864.21</v>
      </c>
      <c r="AH260" s="344">
        <f t="shared" si="41"/>
        <v>9.6878201830509533E-2</v>
      </c>
      <c r="AI260" s="342">
        <v>8788.69</v>
      </c>
      <c r="AJ260" s="344">
        <f t="shared" si="42"/>
        <v>0.14519133585696639</v>
      </c>
      <c r="AK260" s="342">
        <v>29570.63</v>
      </c>
      <c r="AL260" s="784">
        <f t="shared" si="43"/>
        <v>0.48851413257630955</v>
      </c>
      <c r="AM260" s="350">
        <v>30.21172665516621</v>
      </c>
      <c r="AN260" s="350">
        <v>24.038871155033245</v>
      </c>
      <c r="AO260" s="350">
        <v>154.26472199781429</v>
      </c>
      <c r="AP260" s="639">
        <f t="shared" si="44"/>
        <v>5.2056777041604239E-2</v>
      </c>
    </row>
    <row r="261" spans="1:42" x14ac:dyDescent="0.2">
      <c r="A261" s="638">
        <v>42522</v>
      </c>
      <c r="B261" s="341" t="s">
        <v>133</v>
      </c>
      <c r="C261" s="351" t="s">
        <v>170</v>
      </c>
      <c r="D261" s="342">
        <v>0</v>
      </c>
      <c r="E261" s="342">
        <v>0</v>
      </c>
      <c r="F261" s="342">
        <v>0</v>
      </c>
      <c r="G261" s="342">
        <v>0</v>
      </c>
      <c r="H261" s="342">
        <v>0</v>
      </c>
      <c r="I261" s="342">
        <v>0</v>
      </c>
      <c r="J261" s="342">
        <v>0</v>
      </c>
      <c r="K261" s="343">
        <v>0</v>
      </c>
      <c r="L261" s="342">
        <v>0</v>
      </c>
      <c r="M261" s="342">
        <v>0</v>
      </c>
      <c r="N261" s="354">
        <v>0</v>
      </c>
      <c r="O261" s="343" t="s">
        <v>311</v>
      </c>
      <c r="P261" s="343" t="s">
        <v>311</v>
      </c>
      <c r="Q261" s="343" t="s">
        <v>311</v>
      </c>
      <c r="R261" s="344" t="s">
        <v>312</v>
      </c>
      <c r="S261" s="344" t="s">
        <v>312</v>
      </c>
      <c r="T261" s="343">
        <v>0</v>
      </c>
      <c r="U261" s="342">
        <v>0</v>
      </c>
      <c r="V261" s="342">
        <v>0</v>
      </c>
      <c r="W261" s="344" t="str">
        <f t="shared" si="45"/>
        <v>0.00%</v>
      </c>
      <c r="X261" s="342">
        <v>0</v>
      </c>
      <c r="Y261" s="344" t="str">
        <f t="shared" si="46"/>
        <v>0.00%</v>
      </c>
      <c r="Z261" s="342">
        <v>0</v>
      </c>
      <c r="AA261" s="344">
        <f t="shared" si="38"/>
        <v>0</v>
      </c>
      <c r="AB261" s="342">
        <v>0</v>
      </c>
      <c r="AC261" s="344" t="str">
        <f t="shared" si="39"/>
        <v>0.00%</v>
      </c>
      <c r="AD261" s="342">
        <v>0</v>
      </c>
      <c r="AE261" s="342">
        <v>0</v>
      </c>
      <c r="AF261" s="344" t="str">
        <f t="shared" si="40"/>
        <v>0.00%</v>
      </c>
      <c r="AG261" s="342">
        <v>0</v>
      </c>
      <c r="AH261" s="344" t="str">
        <f t="shared" si="41"/>
        <v>0.00%</v>
      </c>
      <c r="AI261" s="342">
        <v>0</v>
      </c>
      <c r="AJ261" s="344">
        <f t="shared" si="42"/>
        <v>0</v>
      </c>
      <c r="AK261" s="342">
        <v>0</v>
      </c>
      <c r="AL261" s="784" t="str">
        <f t="shared" si="43"/>
        <v>0.00%</v>
      </c>
      <c r="AM261" s="350" t="s">
        <v>313</v>
      </c>
      <c r="AN261" s="350" t="s">
        <v>313</v>
      </c>
      <c r="AO261" s="350" t="s">
        <v>313</v>
      </c>
      <c r="AP261" s="639" t="str">
        <f t="shared" si="44"/>
        <v>0.00%</v>
      </c>
    </row>
    <row r="262" spans="1:42" x14ac:dyDescent="0.2">
      <c r="A262" s="638">
        <v>42522</v>
      </c>
      <c r="B262" s="341" t="s">
        <v>133</v>
      </c>
      <c r="C262" s="351" t="s">
        <v>171</v>
      </c>
      <c r="D262" s="342">
        <v>238842.74000682501</v>
      </c>
      <c r="E262" s="342">
        <v>14803</v>
      </c>
      <c r="F262" s="342">
        <v>224039.74000682501</v>
      </c>
      <c r="G262" s="342">
        <v>189921.87037515501</v>
      </c>
      <c r="H262" s="342">
        <v>119773.260292349</v>
      </c>
      <c r="I262" s="342">
        <v>70148.6100828052</v>
      </c>
      <c r="J262" s="342">
        <v>5886.5400066375696</v>
      </c>
      <c r="K262" s="343">
        <v>184035.33036851662</v>
      </c>
      <c r="L262" s="342">
        <v>115645.360099453</v>
      </c>
      <c r="M262" s="342">
        <v>7593.6799961030501</v>
      </c>
      <c r="N262" s="354">
        <v>1278</v>
      </c>
      <c r="O262" s="343">
        <v>186.88790297873632</v>
      </c>
      <c r="P262" s="343">
        <v>90.456729195046137</v>
      </c>
      <c r="Q262" s="343">
        <v>148.60866226537885</v>
      </c>
      <c r="R262" s="344">
        <v>0.79517539603559695</v>
      </c>
      <c r="S262" s="344">
        <v>1.7310133669176138</v>
      </c>
      <c r="T262" s="343">
        <v>257607.57</v>
      </c>
      <c r="U262" s="342">
        <v>181632.67</v>
      </c>
      <c r="V262" s="342">
        <v>8115.32</v>
      </c>
      <c r="W262" s="344">
        <f t="shared" si="45"/>
        <v>4.467984751862096E-2</v>
      </c>
      <c r="X262" s="342">
        <v>3518.92</v>
      </c>
      <c r="Y262" s="344">
        <f t="shared" si="46"/>
        <v>1.9373827406710478E-2</v>
      </c>
      <c r="Z262" s="342">
        <v>4730.3100000000004</v>
      </c>
      <c r="AA262" s="344">
        <f t="shared" si="38"/>
        <v>2.6043277346525822E-2</v>
      </c>
      <c r="AB262" s="342">
        <v>22919.759999999998</v>
      </c>
      <c r="AC262" s="344">
        <f t="shared" si="39"/>
        <v>0.12618743092858789</v>
      </c>
      <c r="AD262" s="342">
        <v>75974.899999999994</v>
      </c>
      <c r="AE262" s="342">
        <v>7077</v>
      </c>
      <c r="AF262" s="344">
        <f t="shared" si="40"/>
        <v>9.3149184796557816E-2</v>
      </c>
      <c r="AG262" s="342">
        <v>6741.15</v>
      </c>
      <c r="AH262" s="344">
        <f t="shared" si="41"/>
        <v>8.8728645908056472E-2</v>
      </c>
      <c r="AI262" s="342">
        <v>9775.8799999999992</v>
      </c>
      <c r="AJ262" s="344">
        <f t="shared" si="42"/>
        <v>0.12867249578479209</v>
      </c>
      <c r="AK262" s="342">
        <v>36265.120000000003</v>
      </c>
      <c r="AL262" s="784">
        <f t="shared" si="43"/>
        <v>0.47733027618331852</v>
      </c>
      <c r="AM262" s="350">
        <v>29.354292530152691</v>
      </c>
      <c r="AN262" s="350">
        <v>21.882296533979098</v>
      </c>
      <c r="AO262" s="350">
        <v>159.82378514830657</v>
      </c>
      <c r="AP262" s="639">
        <f t="shared" si="44"/>
        <v>5.0919996601802138E-2</v>
      </c>
    </row>
    <row r="263" spans="1:42" x14ac:dyDescent="0.2">
      <c r="A263" s="638">
        <v>42522</v>
      </c>
      <c r="B263" s="341" t="s">
        <v>133</v>
      </c>
      <c r="C263" s="351" t="s">
        <v>172</v>
      </c>
      <c r="D263" s="342">
        <v>0</v>
      </c>
      <c r="E263" s="342">
        <v>0</v>
      </c>
      <c r="F263" s="342">
        <v>0</v>
      </c>
      <c r="G263" s="342">
        <v>0</v>
      </c>
      <c r="H263" s="342">
        <v>0</v>
      </c>
      <c r="I263" s="342">
        <v>0</v>
      </c>
      <c r="J263" s="342">
        <v>0</v>
      </c>
      <c r="K263" s="343">
        <v>0</v>
      </c>
      <c r="L263" s="342">
        <v>0</v>
      </c>
      <c r="M263" s="342">
        <v>0</v>
      </c>
      <c r="N263" s="354">
        <v>0</v>
      </c>
      <c r="O263" s="343" t="s">
        <v>311</v>
      </c>
      <c r="P263" s="343" t="s">
        <v>311</v>
      </c>
      <c r="Q263" s="343" t="s">
        <v>311</v>
      </c>
      <c r="R263" s="344" t="s">
        <v>312</v>
      </c>
      <c r="S263" s="344" t="s">
        <v>312</v>
      </c>
      <c r="T263" s="343">
        <v>157</v>
      </c>
      <c r="U263" s="342">
        <v>157</v>
      </c>
      <c r="V263" s="342">
        <v>0</v>
      </c>
      <c r="W263" s="344">
        <f t="shared" si="45"/>
        <v>0</v>
      </c>
      <c r="X263" s="342">
        <v>0</v>
      </c>
      <c r="Y263" s="344">
        <f t="shared" si="46"/>
        <v>0</v>
      </c>
      <c r="Z263" s="342">
        <v>0</v>
      </c>
      <c r="AA263" s="344">
        <f t="shared" si="38"/>
        <v>0</v>
      </c>
      <c r="AB263" s="342">
        <v>157</v>
      </c>
      <c r="AC263" s="344">
        <f t="shared" si="39"/>
        <v>1</v>
      </c>
      <c r="AD263" s="342">
        <v>0</v>
      </c>
      <c r="AE263" s="342">
        <v>0</v>
      </c>
      <c r="AF263" s="344" t="str">
        <f t="shared" si="40"/>
        <v>0.00%</v>
      </c>
      <c r="AG263" s="342">
        <v>0</v>
      </c>
      <c r="AH263" s="344" t="str">
        <f t="shared" si="41"/>
        <v>0.00%</v>
      </c>
      <c r="AI263" s="342">
        <v>0</v>
      </c>
      <c r="AJ263" s="344">
        <f t="shared" si="42"/>
        <v>0</v>
      </c>
      <c r="AK263" s="342">
        <v>0</v>
      </c>
      <c r="AL263" s="784" t="str">
        <f t="shared" si="43"/>
        <v>0.00%</v>
      </c>
      <c r="AM263" s="350" t="s">
        <v>313</v>
      </c>
      <c r="AN263" s="350" t="s">
        <v>313</v>
      </c>
      <c r="AO263" s="350" t="s">
        <v>313</v>
      </c>
      <c r="AP263" s="639" t="str">
        <f t="shared" si="44"/>
        <v>0.00%</v>
      </c>
    </row>
    <row r="264" spans="1:42" x14ac:dyDescent="0.2">
      <c r="A264" s="638">
        <v>42522</v>
      </c>
      <c r="B264" s="341" t="s">
        <v>133</v>
      </c>
      <c r="C264" s="351" t="s">
        <v>173</v>
      </c>
      <c r="D264" s="342">
        <v>225295.57000650099</v>
      </c>
      <c r="E264" s="342">
        <v>18825</v>
      </c>
      <c r="F264" s="342">
        <v>206470.57000650099</v>
      </c>
      <c r="G264" s="342">
        <v>175803.63013140101</v>
      </c>
      <c r="H264" s="342">
        <v>102751.450032867</v>
      </c>
      <c r="I264" s="342">
        <v>73052.180098533601</v>
      </c>
      <c r="J264" s="342">
        <v>6305.1500089168503</v>
      </c>
      <c r="K264" s="343">
        <v>169498.48012248374</v>
      </c>
      <c r="L264" s="342">
        <v>101784.71018035299</v>
      </c>
      <c r="M264" s="342">
        <v>10713.4099886268</v>
      </c>
      <c r="N264" s="354">
        <v>1189</v>
      </c>
      <c r="O264" s="343">
        <v>189.48323802060639</v>
      </c>
      <c r="P264" s="343">
        <v>94.867493555526664</v>
      </c>
      <c r="Q264" s="343">
        <v>147.85839371858756</v>
      </c>
      <c r="R264" s="344">
        <v>0.78032439841727785</v>
      </c>
      <c r="S264" s="344">
        <v>1.6508576715344718</v>
      </c>
      <c r="T264" s="343">
        <v>296606.94</v>
      </c>
      <c r="U264" s="342">
        <v>205460.46</v>
      </c>
      <c r="V264" s="342">
        <v>7194.35</v>
      </c>
      <c r="W264" s="344">
        <f t="shared" si="45"/>
        <v>3.5015739768128627E-2</v>
      </c>
      <c r="X264" s="342">
        <v>5330.25</v>
      </c>
      <c r="Y264" s="344">
        <f t="shared" si="46"/>
        <v>2.5942947854784324E-2</v>
      </c>
      <c r="Z264" s="342">
        <v>3474.18</v>
      </c>
      <c r="AA264" s="344">
        <f t="shared" si="38"/>
        <v>1.6909238887131861E-2</v>
      </c>
      <c r="AB264" s="342">
        <v>31623.25</v>
      </c>
      <c r="AC264" s="344">
        <f t="shared" si="39"/>
        <v>0.15391404263379924</v>
      </c>
      <c r="AD264" s="342">
        <v>91146.48</v>
      </c>
      <c r="AE264" s="342">
        <v>10037.299999999999</v>
      </c>
      <c r="AF264" s="344">
        <f t="shared" si="40"/>
        <v>0.11012273869490077</v>
      </c>
      <c r="AG264" s="342">
        <v>8689</v>
      </c>
      <c r="AH264" s="344">
        <f t="shared" si="41"/>
        <v>9.5330066503939603E-2</v>
      </c>
      <c r="AI264" s="342">
        <v>11022</v>
      </c>
      <c r="AJ264" s="344">
        <f t="shared" si="42"/>
        <v>0.12092622775997494</v>
      </c>
      <c r="AK264" s="342">
        <v>40762.44</v>
      </c>
      <c r="AL264" s="784">
        <f t="shared" si="43"/>
        <v>0.44721902590204254</v>
      </c>
      <c r="AM264" s="350">
        <v>33.685494949402077</v>
      </c>
      <c r="AN264" s="350">
        <v>25.044396704677617</v>
      </c>
      <c r="AO264" s="350">
        <v>151.57396895787139</v>
      </c>
      <c r="AP264" s="639">
        <f t="shared" si="44"/>
        <v>5.5897983668948964E-2</v>
      </c>
    </row>
    <row r="265" spans="1:42" x14ac:dyDescent="0.2">
      <c r="A265" s="638">
        <v>42522</v>
      </c>
      <c r="B265" s="341" t="s">
        <v>133</v>
      </c>
      <c r="C265" s="351" t="s">
        <v>174</v>
      </c>
      <c r="D265" s="342">
        <v>142596.43000753201</v>
      </c>
      <c r="E265" s="342">
        <v>9912</v>
      </c>
      <c r="F265" s="342">
        <v>132684.43000753201</v>
      </c>
      <c r="G265" s="342">
        <v>115012.270085931</v>
      </c>
      <c r="H265" s="342">
        <v>69706.460035681695</v>
      </c>
      <c r="I265" s="342">
        <v>45305.8100502491</v>
      </c>
      <c r="J265" s="342">
        <v>4429.8500015735599</v>
      </c>
      <c r="K265" s="343">
        <v>110582.42008435723</v>
      </c>
      <c r="L265" s="342">
        <v>73506.730090141296</v>
      </c>
      <c r="M265" s="342">
        <v>4272.2400113940203</v>
      </c>
      <c r="N265" s="354">
        <v>686</v>
      </c>
      <c r="O265" s="343">
        <v>207.86651604596503</v>
      </c>
      <c r="P265" s="343">
        <v>94.486093157429565</v>
      </c>
      <c r="Q265" s="343">
        <v>167.65637038765422</v>
      </c>
      <c r="R265" s="344">
        <v>0.80655785057070362</v>
      </c>
      <c r="S265" s="344">
        <v>1.9045673486326649</v>
      </c>
      <c r="T265" s="343">
        <v>180389.68</v>
      </c>
      <c r="U265" s="342">
        <v>119269.53</v>
      </c>
      <c r="V265" s="342">
        <v>6537.16</v>
      </c>
      <c r="W265" s="344">
        <f t="shared" si="45"/>
        <v>5.4809975355818039E-2</v>
      </c>
      <c r="X265" s="342">
        <v>3758.21</v>
      </c>
      <c r="Y265" s="344">
        <f t="shared" si="46"/>
        <v>3.1510227297785111E-2</v>
      </c>
      <c r="Z265" s="342">
        <v>2495.13</v>
      </c>
      <c r="AA265" s="344">
        <f t="shared" si="38"/>
        <v>2.0920095853484123E-2</v>
      </c>
      <c r="AB265" s="342">
        <v>12543.69</v>
      </c>
      <c r="AC265" s="344">
        <f t="shared" si="39"/>
        <v>0.10517095187681214</v>
      </c>
      <c r="AD265" s="342">
        <v>61120.15</v>
      </c>
      <c r="AE265" s="342">
        <v>6377.85</v>
      </c>
      <c r="AF265" s="344">
        <f t="shared" si="40"/>
        <v>0.10434938395929984</v>
      </c>
      <c r="AG265" s="342">
        <v>6054.36</v>
      </c>
      <c r="AH265" s="344">
        <f t="shared" si="41"/>
        <v>9.9056694068977241E-2</v>
      </c>
      <c r="AI265" s="342">
        <v>4022.41</v>
      </c>
      <c r="AJ265" s="344">
        <f t="shared" si="42"/>
        <v>6.5811520423297382E-2</v>
      </c>
      <c r="AK265" s="342">
        <v>31593.9</v>
      </c>
      <c r="AL265" s="784">
        <f t="shared" si="43"/>
        <v>0.51691463453541919</v>
      </c>
      <c r="AM265" s="350">
        <v>30.854352414627961</v>
      </c>
      <c r="AN265" s="350">
        <v>21.576434249917131</v>
      </c>
      <c r="AO265" s="350">
        <v>191.76620184765557</v>
      </c>
      <c r="AP265" s="639">
        <f t="shared" si="44"/>
        <v>6.8343468071690436E-2</v>
      </c>
    </row>
    <row r="266" spans="1:42" x14ac:dyDescent="0.2">
      <c r="A266" s="638">
        <v>42522</v>
      </c>
      <c r="B266" s="341" t="s">
        <v>133</v>
      </c>
      <c r="C266" s="351" t="s">
        <v>175</v>
      </c>
      <c r="D266" s="342">
        <v>0</v>
      </c>
      <c r="E266" s="342">
        <v>0</v>
      </c>
      <c r="F266" s="342">
        <v>0</v>
      </c>
      <c r="G266" s="342">
        <v>620.11999416351296</v>
      </c>
      <c r="H266" s="342">
        <v>172.42999839782701</v>
      </c>
      <c r="I266" s="342">
        <v>447.68999576568598</v>
      </c>
      <c r="J266" s="342">
        <v>50</v>
      </c>
      <c r="K266" s="343">
        <v>570.11999416351296</v>
      </c>
      <c r="L266" s="342">
        <v>-63.5</v>
      </c>
      <c r="M266" s="342">
        <v>1944.39999318123</v>
      </c>
      <c r="N266" s="354">
        <v>0</v>
      </c>
      <c r="O266" s="343" t="s">
        <v>311</v>
      </c>
      <c r="P266" s="343" t="s">
        <v>311</v>
      </c>
      <c r="Q266" s="343" t="s">
        <v>311</v>
      </c>
      <c r="R266" s="344" t="s">
        <v>312</v>
      </c>
      <c r="S266" s="344">
        <v>-0.32115593575710882</v>
      </c>
      <c r="T266" s="343">
        <v>9860.68</v>
      </c>
      <c r="U266" s="342">
        <v>1432.78</v>
      </c>
      <c r="V266" s="342">
        <v>0</v>
      </c>
      <c r="W266" s="344">
        <f t="shared" si="45"/>
        <v>0</v>
      </c>
      <c r="X266" s="342">
        <v>0</v>
      </c>
      <c r="Y266" s="344">
        <f t="shared" si="46"/>
        <v>0</v>
      </c>
      <c r="Z266" s="342">
        <v>0</v>
      </c>
      <c r="AA266" s="344">
        <f t="shared" si="38"/>
        <v>0</v>
      </c>
      <c r="AB266" s="342">
        <v>1432.78</v>
      </c>
      <c r="AC266" s="344">
        <f t="shared" si="39"/>
        <v>1</v>
      </c>
      <c r="AD266" s="342">
        <v>8427.9</v>
      </c>
      <c r="AE266" s="342">
        <v>0</v>
      </c>
      <c r="AF266" s="344">
        <f t="shared" si="40"/>
        <v>0</v>
      </c>
      <c r="AG266" s="342">
        <v>0</v>
      </c>
      <c r="AH266" s="344">
        <f t="shared" si="41"/>
        <v>0</v>
      </c>
      <c r="AI266" s="342">
        <v>0</v>
      </c>
      <c r="AJ266" s="344">
        <f t="shared" si="42"/>
        <v>0</v>
      </c>
      <c r="AK266" s="342">
        <v>8427.9</v>
      </c>
      <c r="AL266" s="784">
        <f t="shared" si="43"/>
        <v>1</v>
      </c>
      <c r="AM266" s="350" t="s">
        <v>313</v>
      </c>
      <c r="AN266" s="350" t="s">
        <v>313</v>
      </c>
      <c r="AO266" s="350" t="s">
        <v>313</v>
      </c>
      <c r="AP266" s="639">
        <f t="shared" si="44"/>
        <v>-2.6583018863981865E-2</v>
      </c>
    </row>
    <row r="267" spans="1:42" x14ac:dyDescent="0.2">
      <c r="A267" s="638">
        <v>42522</v>
      </c>
      <c r="B267" s="341" t="s">
        <v>133</v>
      </c>
      <c r="C267" s="351" t="s">
        <v>176</v>
      </c>
      <c r="D267" s="342">
        <v>0</v>
      </c>
      <c r="E267" s="342">
        <v>0</v>
      </c>
      <c r="F267" s="342">
        <v>0</v>
      </c>
      <c r="G267" s="342">
        <v>0</v>
      </c>
      <c r="H267" s="342">
        <v>0</v>
      </c>
      <c r="I267" s="342">
        <v>0</v>
      </c>
      <c r="J267" s="342">
        <v>0</v>
      </c>
      <c r="K267" s="343">
        <v>0</v>
      </c>
      <c r="L267" s="342">
        <v>0</v>
      </c>
      <c r="M267" s="342">
        <v>0</v>
      </c>
      <c r="N267" s="354">
        <v>0</v>
      </c>
      <c r="O267" s="343" t="s">
        <v>311</v>
      </c>
      <c r="P267" s="343" t="s">
        <v>311</v>
      </c>
      <c r="Q267" s="343" t="s">
        <v>311</v>
      </c>
      <c r="R267" s="344" t="s">
        <v>312</v>
      </c>
      <c r="S267" s="344" t="s">
        <v>312</v>
      </c>
      <c r="T267" s="343">
        <v>0</v>
      </c>
      <c r="U267" s="342">
        <v>0</v>
      </c>
      <c r="V267" s="342">
        <v>0</v>
      </c>
      <c r="W267" s="344" t="str">
        <f t="shared" si="45"/>
        <v>0.00%</v>
      </c>
      <c r="X267" s="342">
        <v>0</v>
      </c>
      <c r="Y267" s="344" t="str">
        <f t="shared" si="46"/>
        <v>0.00%</v>
      </c>
      <c r="Z267" s="342">
        <v>0</v>
      </c>
      <c r="AA267" s="344">
        <f t="shared" si="38"/>
        <v>0</v>
      </c>
      <c r="AB267" s="342">
        <v>0</v>
      </c>
      <c r="AC267" s="344" t="str">
        <f t="shared" si="39"/>
        <v>0.00%</v>
      </c>
      <c r="AD267" s="342">
        <v>0</v>
      </c>
      <c r="AE267" s="342">
        <v>0</v>
      </c>
      <c r="AF267" s="344" t="str">
        <f t="shared" si="40"/>
        <v>0.00%</v>
      </c>
      <c r="AG267" s="342">
        <v>0</v>
      </c>
      <c r="AH267" s="344" t="str">
        <f t="shared" si="41"/>
        <v>0.00%</v>
      </c>
      <c r="AI267" s="342">
        <v>0</v>
      </c>
      <c r="AJ267" s="344">
        <f t="shared" si="42"/>
        <v>0</v>
      </c>
      <c r="AK267" s="342">
        <v>0</v>
      </c>
      <c r="AL267" s="784" t="str">
        <f t="shared" si="43"/>
        <v>0.00%</v>
      </c>
      <c r="AM267" s="350" t="s">
        <v>313</v>
      </c>
      <c r="AN267" s="350" t="s">
        <v>313</v>
      </c>
      <c r="AO267" s="350" t="s">
        <v>313</v>
      </c>
      <c r="AP267" s="639" t="str">
        <f t="shared" si="44"/>
        <v>0.00%</v>
      </c>
    </row>
    <row r="268" spans="1:42" x14ac:dyDescent="0.2">
      <c r="A268" s="638">
        <v>42522</v>
      </c>
      <c r="B268" s="341" t="s">
        <v>133</v>
      </c>
      <c r="C268" s="351" t="s">
        <v>177</v>
      </c>
      <c r="D268" s="342">
        <v>113212.680008257</v>
      </c>
      <c r="E268" s="342">
        <v>4651</v>
      </c>
      <c r="F268" s="342">
        <v>108561.680008257</v>
      </c>
      <c r="G268" s="342">
        <v>89634.160105362505</v>
      </c>
      <c r="H268" s="342">
        <v>47099.020012795903</v>
      </c>
      <c r="I268" s="342">
        <v>42535.140092566602</v>
      </c>
      <c r="J268" s="342">
        <v>6167.6099913120297</v>
      </c>
      <c r="K268" s="343">
        <v>83466.550114050478</v>
      </c>
      <c r="L268" s="342">
        <v>53600.680016517603</v>
      </c>
      <c r="M268" s="342">
        <v>3298.11000919342</v>
      </c>
      <c r="N268" s="354">
        <v>553</v>
      </c>
      <c r="O268" s="343">
        <v>204.72455697695659</v>
      </c>
      <c r="P268" s="343">
        <v>101.8334357731392</v>
      </c>
      <c r="Q268" s="343">
        <v>162.08708879812389</v>
      </c>
      <c r="R268" s="344">
        <v>0.79173251705396575</v>
      </c>
      <c r="S268" s="344">
        <v>1.787453827502886</v>
      </c>
      <c r="T268" s="343">
        <v>110679.8</v>
      </c>
      <c r="U268" s="342">
        <v>87098.47</v>
      </c>
      <c r="V268" s="342">
        <v>2201.75</v>
      </c>
      <c r="W268" s="344">
        <f t="shared" si="45"/>
        <v>2.5278859663091669E-2</v>
      </c>
      <c r="X268" s="342">
        <v>2144.79</v>
      </c>
      <c r="Y268" s="344">
        <f t="shared" si="46"/>
        <v>2.462488721099234E-2</v>
      </c>
      <c r="Z268" s="342">
        <v>2913.29</v>
      </c>
      <c r="AA268" s="344">
        <f t="shared" si="38"/>
        <v>3.344823393568222E-2</v>
      </c>
      <c r="AB268" s="342">
        <v>14700.24</v>
      </c>
      <c r="AC268" s="344">
        <f t="shared" si="39"/>
        <v>0.16877724717782069</v>
      </c>
      <c r="AD268" s="342">
        <v>23581.33</v>
      </c>
      <c r="AE268" s="342">
        <v>3591.5</v>
      </c>
      <c r="AF268" s="344">
        <f t="shared" si="40"/>
        <v>0.15230269030627194</v>
      </c>
      <c r="AG268" s="342">
        <v>3190.11</v>
      </c>
      <c r="AH268" s="344">
        <f t="shared" si="41"/>
        <v>0.13528117370818354</v>
      </c>
      <c r="AI268" s="342">
        <v>1828.71</v>
      </c>
      <c r="AJ268" s="344">
        <f t="shared" si="42"/>
        <v>7.7549061058048888E-2</v>
      </c>
      <c r="AK268" s="342">
        <v>13442.05</v>
      </c>
      <c r="AL268" s="784">
        <f t="shared" si="43"/>
        <v>0.57002934100833147</v>
      </c>
      <c r="AM268" s="350">
        <f>IFERROR(T268/(D268+D218+D168)*90,"0.00")</f>
        <v>23.616766415925781</v>
      </c>
      <c r="AN268" s="350">
        <f>IFERROR(U268/(F268+F218+F168)*90,"0.00")</f>
        <v>19.66345452701777</v>
      </c>
      <c r="AO268" s="350">
        <f>IFERROR(AD268/(E268+E218+E168)*90,"0.00")</f>
        <v>91.744248476202827</v>
      </c>
      <c r="AP268" s="639">
        <f t="shared" si="44"/>
        <v>0.10952200235543362</v>
      </c>
    </row>
    <row r="269" spans="1:42" x14ac:dyDescent="0.2">
      <c r="A269" s="638">
        <v>42522</v>
      </c>
      <c r="B269" s="341" t="s">
        <v>134</v>
      </c>
      <c r="C269" s="351" t="s">
        <v>178</v>
      </c>
      <c r="D269" s="342">
        <v>607020.53103006794</v>
      </c>
      <c r="E269" s="342">
        <v>21520</v>
      </c>
      <c r="F269" s="342">
        <v>585500.53103006794</v>
      </c>
      <c r="G269" s="342">
        <v>478537.3693364081</v>
      </c>
      <c r="H269" s="342">
        <v>335411.53906211408</v>
      </c>
      <c r="I269" s="342">
        <v>143125.8302742932</v>
      </c>
      <c r="J269" s="342">
        <v>16370.81999364498</v>
      </c>
      <c r="K269" s="343">
        <v>462166.54934276233</v>
      </c>
      <c r="L269" s="342">
        <v>205397.13971030479</v>
      </c>
      <c r="M269" s="342">
        <v>22978.85007095342</v>
      </c>
      <c r="N269" s="354">
        <v>2808</v>
      </c>
      <c r="O269" s="343">
        <v>216.17540278848574</v>
      </c>
      <c r="P269" s="343">
        <v>134.84492209715447</v>
      </c>
      <c r="Q269" s="343">
        <v>170.41929107421913</v>
      </c>
      <c r="R269" s="344">
        <v>0.78833802956279841</v>
      </c>
      <c r="S269" s="344">
        <v>1.320927633609265</v>
      </c>
      <c r="T269" s="343">
        <v>593783.31000000006</v>
      </c>
      <c r="U269" s="342">
        <v>505654.46</v>
      </c>
      <c r="V269" s="342">
        <v>15106.48</v>
      </c>
      <c r="W269" s="344">
        <f t="shared" si="45"/>
        <v>2.9875104829491662E-2</v>
      </c>
      <c r="X269" s="342">
        <v>16040.359999999999</v>
      </c>
      <c r="Y269" s="344">
        <f t="shared" si="46"/>
        <v>3.1721978680856487E-2</v>
      </c>
      <c r="Z269" s="342">
        <v>12601.83</v>
      </c>
      <c r="AA269" s="344">
        <f t="shared" si="38"/>
        <v>2.492182111871415E-2</v>
      </c>
      <c r="AB269" s="342">
        <v>25771.57</v>
      </c>
      <c r="AC269" s="344">
        <f t="shared" si="39"/>
        <v>5.0966760977446929E-2</v>
      </c>
      <c r="AD269" s="342">
        <v>88128.849999999991</v>
      </c>
      <c r="AE269" s="342">
        <v>10374.25</v>
      </c>
      <c r="AF269" s="344">
        <f t="shared" si="40"/>
        <v>0.11771684300884445</v>
      </c>
      <c r="AG269" s="342">
        <v>7155.69</v>
      </c>
      <c r="AH269" s="344">
        <f t="shared" si="41"/>
        <v>8.1195771872661457E-2</v>
      </c>
      <c r="AI269" s="342">
        <v>9182.06</v>
      </c>
      <c r="AJ269" s="344">
        <f t="shared" si="42"/>
        <v>0.10418903684775191</v>
      </c>
      <c r="AK269" s="342">
        <v>25626</v>
      </c>
      <c r="AL269" s="784">
        <f t="shared" si="43"/>
        <v>0.2907787858346047</v>
      </c>
      <c r="AM269" s="350">
        <f>IFERROR(T269/(D269+D219+D169)*90,"0.00")</f>
        <v>31.035960391106389</v>
      </c>
      <c r="AN269" s="350">
        <f>IFERROR(U269/(F269+F219+F169)*90,"0.00")</f>
        <v>27.338081768391373</v>
      </c>
      <c r="AO269" s="350">
        <f>IFERROR(AD269/(E269+E219+E169)*90,"0.00")</f>
        <v>138.61822995858017</v>
      </c>
      <c r="AP269" s="639">
        <f t="shared" si="44"/>
        <v>4.3235325510443873E-2</v>
      </c>
    </row>
    <row r="270" spans="1:42" x14ac:dyDescent="0.2">
      <c r="A270" s="638">
        <v>42522</v>
      </c>
      <c r="B270" s="341" t="s">
        <v>135</v>
      </c>
      <c r="C270" s="351" t="s">
        <v>180</v>
      </c>
      <c r="D270" s="342">
        <v>0</v>
      </c>
      <c r="E270" s="342">
        <v>0</v>
      </c>
      <c r="F270" s="342">
        <v>0</v>
      </c>
      <c r="G270" s="342">
        <v>0</v>
      </c>
      <c r="H270" s="342">
        <v>0</v>
      </c>
      <c r="I270" s="342">
        <v>0</v>
      </c>
      <c r="J270" s="342">
        <v>132.75999450683599</v>
      </c>
      <c r="K270" s="343">
        <v>-132.75999450683599</v>
      </c>
      <c r="L270" s="342">
        <v>0</v>
      </c>
      <c r="M270" s="342">
        <v>89.699996948242003</v>
      </c>
      <c r="N270" s="354">
        <v>0</v>
      </c>
      <c r="O270" s="343" t="s">
        <v>311</v>
      </c>
      <c r="P270" s="343" t="s">
        <v>311</v>
      </c>
      <c r="Q270" s="343" t="s">
        <v>311</v>
      </c>
      <c r="R270" s="344" t="s">
        <v>312</v>
      </c>
      <c r="S270" s="344">
        <v>0</v>
      </c>
      <c r="T270" s="343">
        <v>-22.45</v>
      </c>
      <c r="U270" s="342">
        <v>7.55</v>
      </c>
      <c r="V270" s="342">
        <v>0</v>
      </c>
      <c r="W270" s="344">
        <f t="shared" si="45"/>
        <v>0</v>
      </c>
      <c r="X270" s="342">
        <v>0</v>
      </c>
      <c r="Y270" s="344">
        <f t="shared" si="46"/>
        <v>0</v>
      </c>
      <c r="Z270" s="342">
        <v>0</v>
      </c>
      <c r="AA270" s="344">
        <f t="shared" si="38"/>
        <v>0</v>
      </c>
      <c r="AB270" s="342">
        <v>7.55</v>
      </c>
      <c r="AC270" s="344">
        <f t="shared" si="39"/>
        <v>1</v>
      </c>
      <c r="AD270" s="342">
        <v>-30</v>
      </c>
      <c r="AE270" s="342">
        <v>0</v>
      </c>
      <c r="AF270" s="344">
        <f t="shared" si="40"/>
        <v>0</v>
      </c>
      <c r="AG270" s="342">
        <v>0</v>
      </c>
      <c r="AH270" s="344">
        <f t="shared" si="41"/>
        <v>0</v>
      </c>
      <c r="AI270" s="342">
        <v>0</v>
      </c>
      <c r="AJ270" s="344">
        <f t="shared" si="42"/>
        <v>0</v>
      </c>
      <c r="AK270" s="342">
        <v>-30</v>
      </c>
      <c r="AL270" s="784">
        <f t="shared" si="43"/>
        <v>1</v>
      </c>
      <c r="AM270" s="350" t="s">
        <v>313</v>
      </c>
      <c r="AN270" s="350" t="s">
        <v>313</v>
      </c>
      <c r="AO270" s="350" t="s">
        <v>313</v>
      </c>
      <c r="AP270" s="639">
        <f t="shared" si="44"/>
        <v>-1.4800445822026074</v>
      </c>
    </row>
    <row r="271" spans="1:42" x14ac:dyDescent="0.2">
      <c r="A271" s="638">
        <v>42522</v>
      </c>
      <c r="B271" s="341" t="s">
        <v>135</v>
      </c>
      <c r="C271" s="351" t="s">
        <v>181</v>
      </c>
      <c r="D271" s="342">
        <v>98737.140003204302</v>
      </c>
      <c r="E271" s="342">
        <v>5197</v>
      </c>
      <c r="F271" s="342">
        <v>93540.140003204302</v>
      </c>
      <c r="G271" s="342">
        <v>71600.670405387893</v>
      </c>
      <c r="H271" s="342">
        <v>45035.030286788897</v>
      </c>
      <c r="I271" s="342">
        <v>26565.640118598902</v>
      </c>
      <c r="J271" s="342">
        <v>3906.4499950408899</v>
      </c>
      <c r="K271" s="343">
        <v>67694.220410346898</v>
      </c>
      <c r="L271" s="342">
        <v>43546.7196674347</v>
      </c>
      <c r="M271" s="342">
        <v>2376.3100119829201</v>
      </c>
      <c r="N271" s="354">
        <v>753</v>
      </c>
      <c r="O271" s="343">
        <v>131.1250199245741</v>
      </c>
      <c r="P271" s="343">
        <v>70.138260722160268</v>
      </c>
      <c r="Q271" s="343">
        <v>95.087211693742091</v>
      </c>
      <c r="R271" s="344">
        <v>0.72516451664555148</v>
      </c>
      <c r="S271" s="344">
        <v>1.4639970492169307</v>
      </c>
      <c r="T271" s="343">
        <v>97548.73</v>
      </c>
      <c r="U271" s="342">
        <v>70289.39</v>
      </c>
      <c r="V271" s="342">
        <v>2503.37</v>
      </c>
      <c r="W271" s="344">
        <f t="shared" si="45"/>
        <v>3.5615190286898205E-2</v>
      </c>
      <c r="X271" s="342">
        <v>980</v>
      </c>
      <c r="Y271" s="344">
        <f t="shared" si="46"/>
        <v>1.394236029079211E-2</v>
      </c>
      <c r="Z271" s="342">
        <v>804.54</v>
      </c>
      <c r="AA271" s="344">
        <f t="shared" si="38"/>
        <v>1.1446108722810084E-2</v>
      </c>
      <c r="AB271" s="342">
        <v>6485.12</v>
      </c>
      <c r="AC271" s="344">
        <f t="shared" si="39"/>
        <v>9.2263142417369104E-2</v>
      </c>
      <c r="AD271" s="342">
        <v>27259.34</v>
      </c>
      <c r="AE271" s="342">
        <v>2071.16</v>
      </c>
      <c r="AF271" s="344">
        <f t="shared" si="40"/>
        <v>7.5979829298875173E-2</v>
      </c>
      <c r="AG271" s="342">
        <v>2410.36</v>
      </c>
      <c r="AH271" s="344">
        <f t="shared" si="41"/>
        <v>8.842327070281232E-2</v>
      </c>
      <c r="AI271" s="342">
        <v>3648.77</v>
      </c>
      <c r="AJ271" s="344">
        <f t="shared" si="42"/>
        <v>0.13385393776958648</v>
      </c>
      <c r="AK271" s="342">
        <v>13605.82</v>
      </c>
      <c r="AL271" s="784">
        <f t="shared" si="43"/>
        <v>0.49912507052628563</v>
      </c>
      <c r="AM271" s="350">
        <v>28.574302892203711</v>
      </c>
      <c r="AN271" s="350">
        <v>21.980271820506495</v>
      </c>
      <c r="AO271" s="350">
        <v>126.1876658779961</v>
      </c>
      <c r="AP271" s="639">
        <f t="shared" si="44"/>
        <v>7.3966028606591586E-2</v>
      </c>
    </row>
    <row r="272" spans="1:42" x14ac:dyDescent="0.2">
      <c r="A272" s="638">
        <v>42522</v>
      </c>
      <c r="B272" s="341" t="s">
        <v>135</v>
      </c>
      <c r="C272" s="351" t="s">
        <v>182</v>
      </c>
      <c r="D272" s="342">
        <v>0</v>
      </c>
      <c r="E272" s="342">
        <v>0</v>
      </c>
      <c r="F272" s="342">
        <v>0</v>
      </c>
      <c r="G272" s="342">
        <v>0</v>
      </c>
      <c r="H272" s="342">
        <v>0</v>
      </c>
      <c r="I272" s="342">
        <v>0</v>
      </c>
      <c r="J272" s="342">
        <v>994.26001358032204</v>
      </c>
      <c r="K272" s="343">
        <v>-994.26001358032204</v>
      </c>
      <c r="L272" s="342">
        <v>0</v>
      </c>
      <c r="M272" s="342">
        <v>616.150002479553</v>
      </c>
      <c r="N272" s="354">
        <v>0</v>
      </c>
      <c r="O272" s="343" t="s">
        <v>311</v>
      </c>
      <c r="P272" s="343" t="s">
        <v>311</v>
      </c>
      <c r="Q272" s="343" t="s">
        <v>311</v>
      </c>
      <c r="R272" s="344" t="s">
        <v>312</v>
      </c>
      <c r="S272" s="344">
        <v>0</v>
      </c>
      <c r="T272" s="343">
        <v>1202.1600000000001</v>
      </c>
      <c r="U272" s="342">
        <v>894.61</v>
      </c>
      <c r="V272" s="342">
        <v>0</v>
      </c>
      <c r="W272" s="344">
        <f t="shared" si="45"/>
        <v>0</v>
      </c>
      <c r="X272" s="342">
        <v>0</v>
      </c>
      <c r="Y272" s="344">
        <f t="shared" si="46"/>
        <v>0</v>
      </c>
      <c r="Z272" s="342">
        <v>0</v>
      </c>
      <c r="AA272" s="344">
        <f t="shared" si="38"/>
        <v>0</v>
      </c>
      <c r="AB272" s="342">
        <v>894.61</v>
      </c>
      <c r="AC272" s="344">
        <f t="shared" si="39"/>
        <v>1</v>
      </c>
      <c r="AD272" s="342">
        <v>307.55</v>
      </c>
      <c r="AE272" s="342">
        <v>0</v>
      </c>
      <c r="AF272" s="344">
        <f t="shared" si="40"/>
        <v>0</v>
      </c>
      <c r="AG272" s="342">
        <v>0</v>
      </c>
      <c r="AH272" s="344">
        <f t="shared" si="41"/>
        <v>0</v>
      </c>
      <c r="AI272" s="342">
        <v>0</v>
      </c>
      <c r="AJ272" s="344">
        <f t="shared" si="42"/>
        <v>0</v>
      </c>
      <c r="AK272" s="342">
        <v>307.55</v>
      </c>
      <c r="AL272" s="784">
        <f t="shared" si="43"/>
        <v>1</v>
      </c>
      <c r="AM272" s="350" t="s">
        <v>313</v>
      </c>
      <c r="AN272" s="350" t="s">
        <v>313</v>
      </c>
      <c r="AO272" s="350" t="s">
        <v>313</v>
      </c>
      <c r="AP272" s="639">
        <f t="shared" si="44"/>
        <v>-1.6136655190767717</v>
      </c>
    </row>
    <row r="273" spans="1:42" x14ac:dyDescent="0.2">
      <c r="A273" s="638">
        <v>42522</v>
      </c>
      <c r="B273" s="341" t="s">
        <v>135</v>
      </c>
      <c r="C273" s="351" t="s">
        <v>183</v>
      </c>
      <c r="D273" s="342">
        <v>195408.640003204</v>
      </c>
      <c r="E273" s="342">
        <v>14266</v>
      </c>
      <c r="F273" s="342">
        <v>181142.640003204</v>
      </c>
      <c r="G273" s="342">
        <v>143504.41079699999</v>
      </c>
      <c r="H273" s="342">
        <v>77055.050539135904</v>
      </c>
      <c r="I273" s="342">
        <v>66449.360257863998</v>
      </c>
      <c r="J273" s="342">
        <v>9706.8000040054303</v>
      </c>
      <c r="K273" s="343">
        <v>133797.61079299447</v>
      </c>
      <c r="L273" s="342">
        <v>83166.239181548401</v>
      </c>
      <c r="M273" s="342">
        <v>4735.0300003420598</v>
      </c>
      <c r="N273" s="354">
        <v>973</v>
      </c>
      <c r="O273" s="343">
        <v>200.83107913998356</v>
      </c>
      <c r="P273" s="343">
        <v>110.49061749364186</v>
      </c>
      <c r="Q273" s="343">
        <v>147.48654758170596</v>
      </c>
      <c r="R273" s="344">
        <v>0.73438109386896577</v>
      </c>
      <c r="S273" s="344">
        <v>1.4673166996649414</v>
      </c>
      <c r="T273" s="343">
        <v>148959.06</v>
      </c>
      <c r="U273" s="342">
        <v>115434.16</v>
      </c>
      <c r="V273" s="342">
        <v>7070.22</v>
      </c>
      <c r="W273" s="344">
        <f t="shared" si="45"/>
        <v>6.1248940521592569E-2</v>
      </c>
      <c r="X273" s="342">
        <v>3086.1</v>
      </c>
      <c r="Y273" s="344">
        <f t="shared" si="46"/>
        <v>2.6734720467494196E-2</v>
      </c>
      <c r="Z273" s="342">
        <v>2361.2199999999998</v>
      </c>
      <c r="AA273" s="344">
        <f t="shared" si="38"/>
        <v>2.0455123509366721E-2</v>
      </c>
      <c r="AB273" s="342">
        <v>8293.15</v>
      </c>
      <c r="AC273" s="344">
        <f t="shared" si="39"/>
        <v>7.1843118189624286E-2</v>
      </c>
      <c r="AD273" s="342">
        <v>33524.9</v>
      </c>
      <c r="AE273" s="342">
        <v>3040.69</v>
      </c>
      <c r="AF273" s="344">
        <f t="shared" si="40"/>
        <v>9.0699450259359465E-2</v>
      </c>
      <c r="AG273" s="342">
        <v>5363.18</v>
      </c>
      <c r="AH273" s="344">
        <f t="shared" si="41"/>
        <v>0.15997601782555654</v>
      </c>
      <c r="AI273" s="342">
        <v>4272.08</v>
      </c>
      <c r="AJ273" s="344">
        <f t="shared" si="42"/>
        <v>0.12743005944835031</v>
      </c>
      <c r="AK273" s="342">
        <v>16317.56</v>
      </c>
      <c r="AL273" s="784">
        <f t="shared" si="43"/>
        <v>0.48672956518885957</v>
      </c>
      <c r="AM273" s="350">
        <v>22.40308753570978</v>
      </c>
      <c r="AN273" s="350">
        <v>18.415455442430215</v>
      </c>
      <c r="AO273" s="350">
        <v>88.058632967546117</v>
      </c>
      <c r="AP273" s="639">
        <f t="shared" si="44"/>
        <v>9.0289623212337355E-2</v>
      </c>
    </row>
    <row r="274" spans="1:42" x14ac:dyDescent="0.2">
      <c r="A274" s="638">
        <v>42522</v>
      </c>
      <c r="B274" s="341" t="s">
        <v>135</v>
      </c>
      <c r="C274" s="351" t="s">
        <v>184</v>
      </c>
      <c r="D274" s="342">
        <v>0</v>
      </c>
      <c r="E274" s="342">
        <v>0</v>
      </c>
      <c r="F274" s="342">
        <v>0</v>
      </c>
      <c r="G274" s="342">
        <v>172.33999681472801</v>
      </c>
      <c r="H274" s="342">
        <v>129.05999660491901</v>
      </c>
      <c r="I274" s="342">
        <v>43.280000209808001</v>
      </c>
      <c r="J274" s="342">
        <v>838.44999694824196</v>
      </c>
      <c r="K274" s="343">
        <v>-666.11000013351497</v>
      </c>
      <c r="L274" s="342">
        <v>117.739998817444</v>
      </c>
      <c r="M274" s="342">
        <v>614.83000302314804</v>
      </c>
      <c r="N274" s="354">
        <v>0</v>
      </c>
      <c r="O274" s="343" t="s">
        <v>311</v>
      </c>
      <c r="P274" s="343" t="s">
        <v>311</v>
      </c>
      <c r="Q274" s="343" t="s">
        <v>311</v>
      </c>
      <c r="R274" s="344" t="s">
        <v>312</v>
      </c>
      <c r="S274" s="344">
        <v>-0.10969942900000715</v>
      </c>
      <c r="T274" s="343">
        <v>2997.63</v>
      </c>
      <c r="U274" s="342">
        <v>1687.57</v>
      </c>
      <c r="V274" s="342">
        <v>0</v>
      </c>
      <c r="W274" s="344">
        <f t="shared" si="45"/>
        <v>0</v>
      </c>
      <c r="X274" s="342">
        <v>0</v>
      </c>
      <c r="Y274" s="344">
        <f t="shared" si="46"/>
        <v>0</v>
      </c>
      <c r="Z274" s="342">
        <v>0</v>
      </c>
      <c r="AA274" s="344">
        <f t="shared" si="38"/>
        <v>0</v>
      </c>
      <c r="AB274" s="342">
        <v>1687.57</v>
      </c>
      <c r="AC274" s="344">
        <f t="shared" si="39"/>
        <v>1</v>
      </c>
      <c r="AD274" s="342">
        <v>1310.06</v>
      </c>
      <c r="AE274" s="342">
        <v>0</v>
      </c>
      <c r="AF274" s="344">
        <f t="shared" si="40"/>
        <v>0</v>
      </c>
      <c r="AG274" s="342">
        <v>0</v>
      </c>
      <c r="AH274" s="344">
        <f t="shared" si="41"/>
        <v>0</v>
      </c>
      <c r="AI274" s="342">
        <v>0</v>
      </c>
      <c r="AJ274" s="344">
        <f t="shared" si="42"/>
        <v>0</v>
      </c>
      <c r="AK274" s="342">
        <v>1310.06</v>
      </c>
      <c r="AL274" s="784">
        <f t="shared" si="43"/>
        <v>1</v>
      </c>
      <c r="AM274" s="350" t="s">
        <v>313</v>
      </c>
      <c r="AN274" s="350" t="s">
        <v>313</v>
      </c>
      <c r="AO274" s="350" t="s">
        <v>313</v>
      </c>
      <c r="AP274" s="639">
        <f t="shared" si="44"/>
        <v>-1.1445322560869611</v>
      </c>
    </row>
    <row r="275" spans="1:42" x14ac:dyDescent="0.2">
      <c r="A275" s="638">
        <v>42522</v>
      </c>
      <c r="B275" s="341" t="s">
        <v>135</v>
      </c>
      <c r="C275" s="351" t="s">
        <v>185</v>
      </c>
      <c r="D275" s="342">
        <v>122994</v>
      </c>
      <c r="E275" s="342">
        <v>5160</v>
      </c>
      <c r="F275" s="342">
        <v>117834</v>
      </c>
      <c r="G275" s="342">
        <v>83963.150533348293</v>
      </c>
      <c r="H275" s="342">
        <v>51054.660339266098</v>
      </c>
      <c r="I275" s="342">
        <v>32908.490194082297</v>
      </c>
      <c r="J275" s="342">
        <v>8126.7899999618503</v>
      </c>
      <c r="K275" s="343">
        <v>75836.360533386542</v>
      </c>
      <c r="L275" s="342">
        <v>58593.869541168198</v>
      </c>
      <c r="M275" s="342">
        <v>2355.7700068950699</v>
      </c>
      <c r="N275" s="354">
        <v>589</v>
      </c>
      <c r="O275" s="343">
        <v>208.81833616298812</v>
      </c>
      <c r="P275" s="343">
        <v>105.33847275371261</v>
      </c>
      <c r="Q275" s="343">
        <v>142.55203825695821</v>
      </c>
      <c r="R275" s="344">
        <v>0.68266054062270021</v>
      </c>
      <c r="S275" s="344">
        <v>1.5572502586728296</v>
      </c>
      <c r="T275" s="343">
        <v>106368.59999999999</v>
      </c>
      <c r="U275" s="342">
        <v>76078.929999999993</v>
      </c>
      <c r="V275" s="342">
        <v>1963</v>
      </c>
      <c r="W275" s="344">
        <f t="shared" si="45"/>
        <v>2.5802150477142623E-2</v>
      </c>
      <c r="X275" s="342">
        <v>1844.45</v>
      </c>
      <c r="Y275" s="344">
        <f t="shared" si="46"/>
        <v>2.4243900380828177E-2</v>
      </c>
      <c r="Z275" s="342">
        <v>2399.0300000000002</v>
      </c>
      <c r="AA275" s="344">
        <f t="shared" si="38"/>
        <v>3.1533435078542775E-2</v>
      </c>
      <c r="AB275" s="342">
        <v>8875.26</v>
      </c>
      <c r="AC275" s="344">
        <f t="shared" si="39"/>
        <v>0.11665858076605443</v>
      </c>
      <c r="AD275" s="342">
        <v>30289.67</v>
      </c>
      <c r="AE275" s="342">
        <v>4492.97</v>
      </c>
      <c r="AF275" s="344">
        <f t="shared" si="40"/>
        <v>0.14833340871656905</v>
      </c>
      <c r="AG275" s="342">
        <v>5162.1000000000004</v>
      </c>
      <c r="AH275" s="344">
        <f t="shared" si="41"/>
        <v>0.17042443843065971</v>
      </c>
      <c r="AI275" s="342">
        <v>2307.2199999999998</v>
      </c>
      <c r="AJ275" s="344">
        <f t="shared" si="42"/>
        <v>7.6171843404038403E-2</v>
      </c>
      <c r="AK275" s="342">
        <v>9859.9500000000007</v>
      </c>
      <c r="AL275" s="784">
        <f t="shared" si="43"/>
        <v>0.32552186933697203</v>
      </c>
      <c r="AM275" s="350">
        <v>25.628222711229697</v>
      </c>
      <c r="AN275" s="350">
        <v>19.111771606803604</v>
      </c>
      <c r="AO275" s="350">
        <v>178.47782506219718</v>
      </c>
      <c r="AP275" s="639">
        <f t="shared" si="44"/>
        <v>0.13098354049853328</v>
      </c>
    </row>
    <row r="276" spans="1:42" x14ac:dyDescent="0.2">
      <c r="A276" s="638">
        <v>42522</v>
      </c>
      <c r="B276" s="341" t="s">
        <v>135</v>
      </c>
      <c r="C276" s="351" t="s">
        <v>179</v>
      </c>
      <c r="D276" s="342">
        <v>94390.5</v>
      </c>
      <c r="E276" s="342">
        <v>4444</v>
      </c>
      <c r="F276" s="342">
        <v>89946.5</v>
      </c>
      <c r="G276" s="342">
        <v>62182.850362122103</v>
      </c>
      <c r="H276" s="342">
        <v>35449.000237464898</v>
      </c>
      <c r="I276" s="342">
        <v>26733.850124657201</v>
      </c>
      <c r="J276" s="342">
        <v>2913.6899995803801</v>
      </c>
      <c r="K276" s="343">
        <v>59269.160362541719</v>
      </c>
      <c r="L276" s="342">
        <v>39579.029640197798</v>
      </c>
      <c r="M276" s="342">
        <v>1447.48000228405</v>
      </c>
      <c r="N276" s="354">
        <v>459</v>
      </c>
      <c r="O276" s="343">
        <v>205.64379084967319</v>
      </c>
      <c r="P276" s="343">
        <v>116.261416900911</v>
      </c>
      <c r="Q276" s="343">
        <v>135.47461952532049</v>
      </c>
      <c r="R276" s="344">
        <v>0.65878293220315709</v>
      </c>
      <c r="S276" s="344">
        <v>1.2325565937356873</v>
      </c>
      <c r="T276" s="343">
        <v>82536.2</v>
      </c>
      <c r="U276" s="342">
        <v>63271.9</v>
      </c>
      <c r="V276" s="342">
        <v>3428.47</v>
      </c>
      <c r="W276" s="344">
        <f t="shared" si="45"/>
        <v>5.4186297550729463E-2</v>
      </c>
      <c r="X276" s="342">
        <v>1641.98</v>
      </c>
      <c r="Y276" s="344">
        <f t="shared" si="46"/>
        <v>2.5951172637458334E-2</v>
      </c>
      <c r="Z276" s="342">
        <v>262.5</v>
      </c>
      <c r="AA276" s="344">
        <f t="shared" si="38"/>
        <v>4.1487611404114619E-3</v>
      </c>
      <c r="AB276" s="342">
        <v>4311.13</v>
      </c>
      <c r="AC276" s="344">
        <f t="shared" si="39"/>
        <v>6.8136566153379305E-2</v>
      </c>
      <c r="AD276" s="342">
        <v>19264.3</v>
      </c>
      <c r="AE276" s="342">
        <v>2884.47</v>
      </c>
      <c r="AF276" s="344">
        <f t="shared" si="40"/>
        <v>0.14973136838608203</v>
      </c>
      <c r="AG276" s="342">
        <v>1579.29</v>
      </c>
      <c r="AH276" s="344">
        <f t="shared" si="41"/>
        <v>8.1980139428891791E-2</v>
      </c>
      <c r="AI276" s="342">
        <v>1541</v>
      </c>
      <c r="AJ276" s="344">
        <f t="shared" si="42"/>
        <v>7.9992525033351844E-2</v>
      </c>
      <c r="AK276" s="342">
        <v>9041.94</v>
      </c>
      <c r="AL276" s="784">
        <f t="shared" si="43"/>
        <v>0.46936249954579201</v>
      </c>
      <c r="AM276" s="350">
        <v>25.724630717471705</v>
      </c>
      <c r="AN276" s="350">
        <v>21.101455253832434</v>
      </c>
      <c r="AO276" s="350">
        <v>91.739615852690605</v>
      </c>
      <c r="AP276" s="639">
        <f t="shared" si="44"/>
        <v>5.4600302189918348E-2</v>
      </c>
    </row>
    <row r="277" spans="1:42" x14ac:dyDescent="0.2">
      <c r="A277" s="638">
        <v>42522</v>
      </c>
      <c r="B277" s="341" t="s">
        <v>135</v>
      </c>
      <c r="C277" s="351" t="s">
        <v>186</v>
      </c>
      <c r="D277" s="342">
        <v>82855.690002441406</v>
      </c>
      <c r="E277" s="342">
        <v>5679</v>
      </c>
      <c r="F277" s="342">
        <v>77176.690002441406</v>
      </c>
      <c r="G277" s="342">
        <v>55528.790351867698</v>
      </c>
      <c r="H277" s="342">
        <v>30123.520236492201</v>
      </c>
      <c r="I277" s="342">
        <v>25405.270115375501</v>
      </c>
      <c r="J277" s="342">
        <v>3115.2500042915299</v>
      </c>
      <c r="K277" s="343">
        <v>52413.540347576178</v>
      </c>
      <c r="L277" s="342">
        <v>35682.179763793902</v>
      </c>
      <c r="M277" s="342">
        <v>-39.5</v>
      </c>
      <c r="N277" s="354">
        <v>414</v>
      </c>
      <c r="O277" s="343">
        <v>200.13451691410967</v>
      </c>
      <c r="P277" s="343">
        <v>114.04108753296499</v>
      </c>
      <c r="Q277" s="343">
        <v>134.12751292721669</v>
      </c>
      <c r="R277" s="344">
        <v>0.67018680733008806</v>
      </c>
      <c r="S277" s="344">
        <v>1.2592201975057673</v>
      </c>
      <c r="T277" s="343">
        <v>53604.24</v>
      </c>
      <c r="U277" s="342">
        <v>44672.45</v>
      </c>
      <c r="V277" s="342">
        <v>4246.75</v>
      </c>
      <c r="W277" s="344">
        <f t="shared" si="45"/>
        <v>9.5064183853806994E-2</v>
      </c>
      <c r="X277" s="342">
        <v>1412.12</v>
      </c>
      <c r="Y277" s="344">
        <f t="shared" si="46"/>
        <v>3.1610534009215971E-2</v>
      </c>
      <c r="Z277" s="342">
        <v>708.08</v>
      </c>
      <c r="AA277" s="344">
        <f t="shared" si="38"/>
        <v>1.5850485030482996E-2</v>
      </c>
      <c r="AB277" s="342">
        <v>0</v>
      </c>
      <c r="AC277" s="344">
        <f t="shared" si="39"/>
        <v>0</v>
      </c>
      <c r="AD277" s="342">
        <v>8931.7900000000009</v>
      </c>
      <c r="AE277" s="342">
        <v>1514.09</v>
      </c>
      <c r="AF277" s="344">
        <f t="shared" si="40"/>
        <v>0.16951697252174533</v>
      </c>
      <c r="AG277" s="342">
        <v>1833.21</v>
      </c>
      <c r="AH277" s="344">
        <f t="shared" si="41"/>
        <v>0.20524553309023161</v>
      </c>
      <c r="AI277" s="342">
        <v>1373.28</v>
      </c>
      <c r="AJ277" s="344">
        <f t="shared" si="42"/>
        <v>0.1537519355022901</v>
      </c>
      <c r="AK277" s="342">
        <v>865.32</v>
      </c>
      <c r="AL277" s="784">
        <f t="shared" si="43"/>
        <v>9.6880916367267922E-2</v>
      </c>
      <c r="AM277" s="350">
        <v>19.349057583930872</v>
      </c>
      <c r="AN277" s="350">
        <v>17.465701607220197</v>
      </c>
      <c r="AO277" s="350">
        <v>42.001206959611274</v>
      </c>
      <c r="AP277" s="639">
        <f t="shared" si="44"/>
        <v>6.59828718513156E-2</v>
      </c>
    </row>
    <row r="278" spans="1:42" x14ac:dyDescent="0.2">
      <c r="A278" s="638">
        <v>42522</v>
      </c>
      <c r="B278" s="341" t="s">
        <v>135</v>
      </c>
      <c r="C278" s="351" t="s">
        <v>187</v>
      </c>
      <c r="D278" s="342">
        <v>94614.360000610395</v>
      </c>
      <c r="E278" s="342">
        <v>5780</v>
      </c>
      <c r="F278" s="342">
        <v>88834.360000610395</v>
      </c>
      <c r="G278" s="342">
        <v>67682.980473995194</v>
      </c>
      <c r="H278" s="342">
        <v>38539.3803191185</v>
      </c>
      <c r="I278" s="342">
        <v>29143.600154876702</v>
      </c>
      <c r="J278" s="342">
        <v>4573.5200138091996</v>
      </c>
      <c r="K278" s="343">
        <v>63109.460460186012</v>
      </c>
      <c r="L278" s="342">
        <v>40877.289610385902</v>
      </c>
      <c r="M278" s="342">
        <v>594.64000535011303</v>
      </c>
      <c r="N278" s="354">
        <v>433</v>
      </c>
      <c r="O278" s="343">
        <v>218.50891455106327</v>
      </c>
      <c r="P278" s="343">
        <v>122.73078610825492</v>
      </c>
      <c r="Q278" s="343">
        <v>156.31173319629377</v>
      </c>
      <c r="R278" s="344">
        <v>0.71535632089630541</v>
      </c>
      <c r="S278" s="344">
        <v>1.3935453761861043</v>
      </c>
      <c r="T278" s="343">
        <v>62254.65</v>
      </c>
      <c r="U278" s="342">
        <v>49125.4</v>
      </c>
      <c r="V278" s="342">
        <v>2724.4</v>
      </c>
      <c r="W278" s="344">
        <f t="shared" si="45"/>
        <v>5.5458072606024582E-2</v>
      </c>
      <c r="X278" s="342">
        <v>-329.26</v>
      </c>
      <c r="Y278" s="344">
        <v>0</v>
      </c>
      <c r="Z278" s="342">
        <v>1573</v>
      </c>
      <c r="AA278" s="344">
        <f t="shared" si="38"/>
        <v>3.2020095510672683E-2</v>
      </c>
      <c r="AB278" s="342">
        <v>2916.56</v>
      </c>
      <c r="AC278" s="344">
        <f t="shared" si="39"/>
        <v>5.936969469968692E-2</v>
      </c>
      <c r="AD278" s="342">
        <v>13129.25</v>
      </c>
      <c r="AE278" s="342">
        <v>2223.14</v>
      </c>
      <c r="AF278" s="344">
        <f t="shared" si="40"/>
        <v>0.16932726545689966</v>
      </c>
      <c r="AG278" s="342">
        <v>1969.29</v>
      </c>
      <c r="AH278" s="344">
        <f t="shared" si="41"/>
        <v>0.14999257383323494</v>
      </c>
      <c r="AI278" s="342">
        <v>1532.94</v>
      </c>
      <c r="AJ278" s="344">
        <f t="shared" si="42"/>
        <v>0.1167576213416608</v>
      </c>
      <c r="AK278" s="342">
        <v>5325.83</v>
      </c>
      <c r="AL278" s="784">
        <f t="shared" si="43"/>
        <v>0.40564617171582534</v>
      </c>
      <c r="AM278" s="350">
        <v>20.23923353196972</v>
      </c>
      <c r="AN278" s="350">
        <v>16.910538519692899</v>
      </c>
      <c r="AO278" s="350">
        <v>76.814177988688812</v>
      </c>
      <c r="AP278" s="639">
        <f t="shared" si="44"/>
        <v>8.6061551582912441E-2</v>
      </c>
    </row>
    <row r="279" spans="1:42" x14ac:dyDescent="0.2">
      <c r="A279" s="638">
        <v>42522</v>
      </c>
      <c r="B279" s="341" t="s">
        <v>135</v>
      </c>
      <c r="C279" s="351" t="s">
        <v>188</v>
      </c>
      <c r="D279" s="342">
        <v>111491</v>
      </c>
      <c r="E279" s="342">
        <v>7017</v>
      </c>
      <c r="F279" s="342">
        <v>104474</v>
      </c>
      <c r="G279" s="342">
        <v>77769.030407901897</v>
      </c>
      <c r="H279" s="342">
        <v>45588.520261228099</v>
      </c>
      <c r="I279" s="342">
        <v>32180.510146673802</v>
      </c>
      <c r="J279" s="342">
        <v>3508.9200043678302</v>
      </c>
      <c r="K279" s="343">
        <v>74260.110403534069</v>
      </c>
      <c r="L279" s="342">
        <v>46994.429612278902</v>
      </c>
      <c r="M279" s="342">
        <v>1630.0400061607399</v>
      </c>
      <c r="N279" s="354">
        <v>621</v>
      </c>
      <c r="O279" s="343">
        <v>179.53462157809983</v>
      </c>
      <c r="P279" s="343">
        <v>101.23434844051587</v>
      </c>
      <c r="Q279" s="343">
        <v>125.23193302399662</v>
      </c>
      <c r="R279" s="344">
        <v>0.69753639673069479</v>
      </c>
      <c r="S279" s="344">
        <v>1.3101779184457154</v>
      </c>
      <c r="T279" s="343">
        <v>93164.140000000014</v>
      </c>
      <c r="U279" s="342">
        <v>70802.460000000006</v>
      </c>
      <c r="V279" s="342">
        <v>43.92</v>
      </c>
      <c r="W279" s="344">
        <f t="shared" si="45"/>
        <v>6.203174296486308E-4</v>
      </c>
      <c r="X279" s="342">
        <v>2302.23</v>
      </c>
      <c r="Y279" s="344">
        <f t="shared" si="46"/>
        <v>3.2516243079689602E-2</v>
      </c>
      <c r="Z279" s="342">
        <v>1589.81</v>
      </c>
      <c r="AA279" s="344">
        <f t="shared" si="38"/>
        <v>2.2454163315794393E-2</v>
      </c>
      <c r="AB279" s="342">
        <v>4669.0200000000004</v>
      </c>
      <c r="AC279" s="344">
        <f t="shared" si="39"/>
        <v>6.5944318883835396E-2</v>
      </c>
      <c r="AD279" s="342">
        <v>22361.68</v>
      </c>
      <c r="AE279" s="342">
        <v>1366.46</v>
      </c>
      <c r="AF279" s="344">
        <f t="shared" si="40"/>
        <v>6.1107215558043937E-2</v>
      </c>
      <c r="AG279" s="342">
        <v>3440.34</v>
      </c>
      <c r="AH279" s="344">
        <f t="shared" si="41"/>
        <v>0.15384980019390315</v>
      </c>
      <c r="AI279" s="342">
        <v>3035.78</v>
      </c>
      <c r="AJ279" s="344">
        <f t="shared" si="42"/>
        <v>0.13575813624021094</v>
      </c>
      <c r="AK279" s="342">
        <v>10771.75</v>
      </c>
      <c r="AL279" s="784">
        <f t="shared" si="43"/>
        <v>0.48170575734917948</v>
      </c>
      <c r="AM279" s="350">
        <v>24.887789238382624</v>
      </c>
      <c r="AN279" s="350">
        <v>20.057854764643018</v>
      </c>
      <c r="AO279" s="350">
        <v>104.7603560460153</v>
      </c>
      <c r="AP279" s="639">
        <f t="shared" si="44"/>
        <v>5.5815391482095314E-2</v>
      </c>
    </row>
    <row r="280" spans="1:42" x14ac:dyDescent="0.2">
      <c r="A280" s="638">
        <v>42522</v>
      </c>
      <c r="B280" s="341" t="s">
        <v>136</v>
      </c>
      <c r="C280" s="351" t="s">
        <v>189</v>
      </c>
      <c r="D280" s="342">
        <v>110151.94999958</v>
      </c>
      <c r="E280" s="342">
        <v>5214</v>
      </c>
      <c r="F280" s="342">
        <v>104937.94999958</v>
      </c>
      <c r="G280" s="342">
        <v>71015.070253252998</v>
      </c>
      <c r="H280" s="342">
        <v>35579.4201654196</v>
      </c>
      <c r="I280" s="342">
        <v>35435.650087833397</v>
      </c>
      <c r="J280" s="342">
        <v>4044.0799980163602</v>
      </c>
      <c r="K280" s="343">
        <v>66970.99025523664</v>
      </c>
      <c r="L280" s="342">
        <v>46975.580094158599</v>
      </c>
      <c r="M280" s="342">
        <v>1147.6899967193599</v>
      </c>
      <c r="N280" s="354">
        <v>459</v>
      </c>
      <c r="O280" s="343">
        <v>239.98246187272332</v>
      </c>
      <c r="P280" s="343">
        <v>135.13873618453604</v>
      </c>
      <c r="Q280" s="343">
        <v>154.71692865632463</v>
      </c>
      <c r="R280" s="344">
        <v>0.64470098126745623</v>
      </c>
      <c r="S280" s="344">
        <v>1.2247229499321939</v>
      </c>
      <c r="T280" s="343">
        <v>91742.69</v>
      </c>
      <c r="U280" s="342">
        <v>71239.7</v>
      </c>
      <c r="V280" s="342">
        <v>1185.24</v>
      </c>
      <c r="W280" s="344">
        <f t="shared" si="45"/>
        <v>1.6637352487447309E-2</v>
      </c>
      <c r="X280" s="342">
        <v>1716.4</v>
      </c>
      <c r="Y280" s="344">
        <f t="shared" si="46"/>
        <v>2.4093307523754312E-2</v>
      </c>
      <c r="Z280" s="342">
        <v>1409.43</v>
      </c>
      <c r="AA280" s="344">
        <f t="shared" si="38"/>
        <v>1.9784333735262782E-2</v>
      </c>
      <c r="AB280" s="342">
        <v>2659.25</v>
      </c>
      <c r="AC280" s="344">
        <f t="shared" si="39"/>
        <v>3.7328203234993973E-2</v>
      </c>
      <c r="AD280" s="342">
        <v>20502.990000000002</v>
      </c>
      <c r="AE280" s="342">
        <v>2003.78</v>
      </c>
      <c r="AF280" s="344">
        <f t="shared" si="40"/>
        <v>9.7731111413506017E-2</v>
      </c>
      <c r="AG280" s="342">
        <v>2416.25</v>
      </c>
      <c r="AH280" s="344">
        <f t="shared" si="41"/>
        <v>0.11784866499959273</v>
      </c>
      <c r="AI280" s="342">
        <v>2381.13</v>
      </c>
      <c r="AJ280" s="344">
        <f t="shared" si="42"/>
        <v>0.11613574410366488</v>
      </c>
      <c r="AK280" s="342">
        <v>10911.61</v>
      </c>
      <c r="AL280" s="784">
        <f t="shared" si="43"/>
        <v>0.53219603579770558</v>
      </c>
      <c r="AM280" s="350">
        <v>27.466917316527432</v>
      </c>
      <c r="AN280" s="350">
        <v>22.391277380926876</v>
      </c>
      <c r="AO280" s="350">
        <v>129.32920521446593</v>
      </c>
      <c r="AP280" s="639">
        <f t="shared" si="44"/>
        <v>6.5196937996563967E-2</v>
      </c>
    </row>
    <row r="281" spans="1:42" x14ac:dyDescent="0.2">
      <c r="A281" s="638">
        <v>42522</v>
      </c>
      <c r="B281" s="341" t="s">
        <v>136</v>
      </c>
      <c r="C281" s="351" t="s">
        <v>190</v>
      </c>
      <c r="D281" s="342">
        <v>164983.820005683</v>
      </c>
      <c r="E281" s="342">
        <v>9201</v>
      </c>
      <c r="F281" s="342">
        <v>155782.820005683</v>
      </c>
      <c r="G281" s="342">
        <v>119345.320298076</v>
      </c>
      <c r="H281" s="342">
        <v>63693.610206484802</v>
      </c>
      <c r="I281" s="342">
        <v>55651.710091590903</v>
      </c>
      <c r="J281" s="342">
        <v>5322.3499937057504</v>
      </c>
      <c r="K281" s="343">
        <v>114022.97030436996</v>
      </c>
      <c r="L281" s="342">
        <v>78233.360069045797</v>
      </c>
      <c r="M281" s="342">
        <v>3462.9799864292099</v>
      </c>
      <c r="N281" s="354">
        <v>689</v>
      </c>
      <c r="O281" s="343">
        <v>239.45402032755152</v>
      </c>
      <c r="P281" s="343">
        <v>120.88168352715238</v>
      </c>
      <c r="Q281" s="343">
        <v>173.21526893770059</v>
      </c>
      <c r="R281" s="344">
        <v>0.7233759061583418</v>
      </c>
      <c r="S281" s="344">
        <v>1.5307525346864683</v>
      </c>
      <c r="T281" s="343">
        <v>137446.25</v>
      </c>
      <c r="U281" s="342">
        <v>101863.96</v>
      </c>
      <c r="V281" s="342">
        <v>1839.48</v>
      </c>
      <c r="W281" s="344">
        <f t="shared" si="45"/>
        <v>1.8058202331815883E-2</v>
      </c>
      <c r="X281" s="342">
        <v>3193.3</v>
      </c>
      <c r="Y281" s="344">
        <f t="shared" si="46"/>
        <v>3.1348673269721697E-2</v>
      </c>
      <c r="Z281" s="342">
        <v>2237.8200000000002</v>
      </c>
      <c r="AA281" s="344">
        <f t="shared" si="38"/>
        <v>2.1968711995881567E-2</v>
      </c>
      <c r="AB281" s="342">
        <v>3043.81</v>
      </c>
      <c r="AC281" s="344">
        <f t="shared" si="39"/>
        <v>2.9881127731535274E-2</v>
      </c>
      <c r="AD281" s="342">
        <v>35582.29</v>
      </c>
      <c r="AE281" s="342">
        <v>2539.4</v>
      </c>
      <c r="AF281" s="344">
        <f t="shared" si="40"/>
        <v>7.136696373392494E-2</v>
      </c>
      <c r="AG281" s="342">
        <v>3826.25</v>
      </c>
      <c r="AH281" s="344">
        <f t="shared" si="41"/>
        <v>0.10753242694610156</v>
      </c>
      <c r="AI281" s="342">
        <v>5012.6099999999997</v>
      </c>
      <c r="AJ281" s="344">
        <f t="shared" si="42"/>
        <v>0.14087373241013998</v>
      </c>
      <c r="AK281" s="342">
        <v>21900.26</v>
      </c>
      <c r="AL281" s="784">
        <f t="shared" si="43"/>
        <v>0.6154820277165971</v>
      </c>
      <c r="AM281" s="350">
        <v>23.273458928563414</v>
      </c>
      <c r="AN281" s="350">
        <v>18.232002066285734</v>
      </c>
      <c r="AO281" s="350">
        <v>111.67937576285965</v>
      </c>
      <c r="AP281" s="639">
        <f t="shared" si="44"/>
        <v>6.3903362148640203E-2</v>
      </c>
    </row>
    <row r="282" spans="1:42" x14ac:dyDescent="0.2">
      <c r="A282" s="638">
        <v>42522</v>
      </c>
      <c r="B282" s="341" t="s">
        <v>136</v>
      </c>
      <c r="C282" s="351" t="s">
        <v>191</v>
      </c>
      <c r="D282" s="342">
        <v>171544.160004901</v>
      </c>
      <c r="E282" s="342">
        <v>5322</v>
      </c>
      <c r="F282" s="342">
        <v>166222.160004901</v>
      </c>
      <c r="G282" s="342">
        <v>101882.910296381</v>
      </c>
      <c r="H282" s="342">
        <v>62831.830188691602</v>
      </c>
      <c r="I282" s="342">
        <v>39051.080107688897</v>
      </c>
      <c r="J282" s="342">
        <v>5738.2899951934796</v>
      </c>
      <c r="K282" s="343">
        <v>96144.620301187009</v>
      </c>
      <c r="L282" s="342">
        <v>84840.240104902507</v>
      </c>
      <c r="M282" s="342">
        <v>77.220001220702997</v>
      </c>
      <c r="N282" s="354">
        <v>662</v>
      </c>
      <c r="O282" s="343">
        <v>259.13015106480515</v>
      </c>
      <c r="P282" s="343">
        <v>130.85604214316888</v>
      </c>
      <c r="Q282" s="343">
        <v>153.90167718486478</v>
      </c>
      <c r="R282" s="344">
        <v>0.59391651860063155</v>
      </c>
      <c r="S282" s="344">
        <v>1.2595489318904991</v>
      </c>
      <c r="T282" s="343">
        <v>155892.78</v>
      </c>
      <c r="U282" s="342">
        <v>127333.75999999999</v>
      </c>
      <c r="V282" s="342">
        <v>2710.24</v>
      </c>
      <c r="W282" s="344">
        <f t="shared" si="45"/>
        <v>2.1284536009931694E-2</v>
      </c>
      <c r="X282" s="342">
        <v>1994.49</v>
      </c>
      <c r="Y282" s="344">
        <f t="shared" si="46"/>
        <v>1.5663481546449268E-2</v>
      </c>
      <c r="Z282" s="342">
        <v>1313.15</v>
      </c>
      <c r="AA282" s="344">
        <f t="shared" si="38"/>
        <v>1.0312661779562625E-2</v>
      </c>
      <c r="AB282" s="342">
        <v>2386.1</v>
      </c>
      <c r="AC282" s="344">
        <f t="shared" si="39"/>
        <v>1.8738942445428456E-2</v>
      </c>
      <c r="AD282" s="342">
        <v>28559.02</v>
      </c>
      <c r="AE282" s="342">
        <v>3055.91</v>
      </c>
      <c r="AF282" s="344">
        <f t="shared" si="40"/>
        <v>0.10700332154254592</v>
      </c>
      <c r="AG282" s="342">
        <v>3152.88</v>
      </c>
      <c r="AH282" s="344">
        <f t="shared" si="41"/>
        <v>0.11039874617546401</v>
      </c>
      <c r="AI282" s="342">
        <v>4639.8</v>
      </c>
      <c r="AJ282" s="344">
        <f t="shared" si="42"/>
        <v>0.16246355792320605</v>
      </c>
      <c r="AK282" s="342">
        <v>10630.86</v>
      </c>
      <c r="AL282" s="784">
        <f t="shared" si="43"/>
        <v>0.37224176459836511</v>
      </c>
      <c r="AM282" s="350">
        <v>27.097857170250318</v>
      </c>
      <c r="AN282" s="350">
        <v>23.010413843110129</v>
      </c>
      <c r="AO282" s="350">
        <v>130.28089614273406</v>
      </c>
      <c r="AP282" s="639">
        <f t="shared" si="44"/>
        <v>6.6241586045625647E-2</v>
      </c>
    </row>
    <row r="283" spans="1:42" x14ac:dyDescent="0.2">
      <c r="A283" s="638">
        <v>42522</v>
      </c>
      <c r="B283" s="341" t="s">
        <v>136</v>
      </c>
      <c r="C283" s="351" t="s">
        <v>192</v>
      </c>
      <c r="D283" s="342">
        <v>193745.690003909</v>
      </c>
      <c r="E283" s="342">
        <v>13421</v>
      </c>
      <c r="F283" s="342">
        <v>180324.690003909</v>
      </c>
      <c r="G283" s="342">
        <v>138781.79042324401</v>
      </c>
      <c r="H283" s="342">
        <v>80906.120308726997</v>
      </c>
      <c r="I283" s="342">
        <v>57875.670114517197</v>
      </c>
      <c r="J283" s="342">
        <v>5768.7399966716803</v>
      </c>
      <c r="K283" s="343">
        <v>133013.0504265725</v>
      </c>
      <c r="L283" s="342">
        <v>80756.490253448501</v>
      </c>
      <c r="M283" s="342">
        <v>894.48000144958496</v>
      </c>
      <c r="N283" s="354">
        <v>1153</v>
      </c>
      <c r="O283" s="343">
        <v>168.03615785247962</v>
      </c>
      <c r="P283" s="343">
        <v>97.220051820477806</v>
      </c>
      <c r="Q283" s="343">
        <v>120.36581996812158</v>
      </c>
      <c r="R283" s="344">
        <v>0.71630904625772129</v>
      </c>
      <c r="S283" s="344">
        <v>1.3052481693232729</v>
      </c>
      <c r="T283" s="343">
        <v>201056.38</v>
      </c>
      <c r="U283" s="342">
        <v>144579.82999999999</v>
      </c>
      <c r="V283" s="342">
        <v>3313.11</v>
      </c>
      <c r="W283" s="344">
        <f t="shared" si="45"/>
        <v>2.2915437097968647E-2</v>
      </c>
      <c r="X283" s="342">
        <v>3045.89</v>
      </c>
      <c r="Y283" s="344">
        <f t="shared" si="46"/>
        <v>2.1067184821008576E-2</v>
      </c>
      <c r="Z283" s="342">
        <v>1499.72</v>
      </c>
      <c r="AA283" s="344">
        <f t="shared" si="38"/>
        <v>1.037295451239637E-2</v>
      </c>
      <c r="AB283" s="342">
        <v>5632</v>
      </c>
      <c r="AC283" s="344">
        <f t="shared" si="39"/>
        <v>3.8954258004038324E-2</v>
      </c>
      <c r="AD283" s="342">
        <v>56476.55</v>
      </c>
      <c r="AE283" s="342">
        <v>6014.64</v>
      </c>
      <c r="AF283" s="344">
        <f t="shared" si="40"/>
        <v>0.10649800669481405</v>
      </c>
      <c r="AG283" s="342">
        <v>7074.47</v>
      </c>
      <c r="AH283" s="344">
        <f t="shared" si="41"/>
        <v>0.12526384844683325</v>
      </c>
      <c r="AI283" s="342">
        <v>6576.07</v>
      </c>
      <c r="AJ283" s="344">
        <f t="shared" si="42"/>
        <v>0.11643894678410772</v>
      </c>
      <c r="AK283" s="342">
        <v>24455.4</v>
      </c>
      <c r="AL283" s="784">
        <f t="shared" si="43"/>
        <v>0.43301865995709726</v>
      </c>
      <c r="AM283" s="350">
        <v>27.91635495120002</v>
      </c>
      <c r="AN283" s="350">
        <v>21.386318504998744</v>
      </c>
      <c r="AO283" s="350">
        <v>127.8585676913015</v>
      </c>
      <c r="AP283" s="639">
        <f t="shared" si="44"/>
        <v>5.1463084163003867E-2</v>
      </c>
    </row>
    <row r="284" spans="1:42" x14ac:dyDescent="0.2">
      <c r="A284" s="638">
        <v>42522</v>
      </c>
      <c r="B284" s="341" t="s">
        <v>136</v>
      </c>
      <c r="C284" s="351" t="s">
        <v>193</v>
      </c>
      <c r="D284" s="342">
        <v>44110.470001945301</v>
      </c>
      <c r="E284" s="342">
        <v>1428</v>
      </c>
      <c r="F284" s="342">
        <v>42682.470001945301</v>
      </c>
      <c r="G284" s="342">
        <v>22681.340028382801</v>
      </c>
      <c r="H284" s="342">
        <v>12340.110008239701</v>
      </c>
      <c r="I284" s="342">
        <v>10341.230020143101</v>
      </c>
      <c r="J284" s="342">
        <v>125</v>
      </c>
      <c r="K284" s="343">
        <v>22556.340028382801</v>
      </c>
      <c r="L284" s="342">
        <v>18019.519989013701</v>
      </c>
      <c r="M284" s="342">
        <v>0</v>
      </c>
      <c r="N284" s="354">
        <v>161</v>
      </c>
      <c r="O284" s="343">
        <v>273.9780745462441</v>
      </c>
      <c r="P284" s="343">
        <v>162.05559014243229</v>
      </c>
      <c r="Q284" s="343">
        <v>140.87788837504846</v>
      </c>
      <c r="R284" s="344">
        <v>0.51419402303767203</v>
      </c>
      <c r="S284" s="344">
        <v>0.87350318463553256</v>
      </c>
      <c r="T284" s="343">
        <v>32026.54</v>
      </c>
      <c r="U284" s="342">
        <v>30701.4</v>
      </c>
      <c r="V284" s="342">
        <v>0</v>
      </c>
      <c r="W284" s="344">
        <f t="shared" si="45"/>
        <v>0</v>
      </c>
      <c r="X284" s="342">
        <v>0</v>
      </c>
      <c r="Y284" s="344">
        <f t="shared" si="46"/>
        <v>0</v>
      </c>
      <c r="Z284" s="342">
        <v>0</v>
      </c>
      <c r="AA284" s="344">
        <f t="shared" si="38"/>
        <v>0</v>
      </c>
      <c r="AB284" s="342">
        <v>0</v>
      </c>
      <c r="AC284" s="344">
        <f t="shared" si="39"/>
        <v>0</v>
      </c>
      <c r="AD284" s="342">
        <v>1325.14</v>
      </c>
      <c r="AE284" s="342">
        <v>-52.37</v>
      </c>
      <c r="AF284" s="344">
        <v>0</v>
      </c>
      <c r="AG284" s="342">
        <v>0</v>
      </c>
      <c r="AH284" s="344">
        <f t="shared" si="41"/>
        <v>0</v>
      </c>
      <c r="AI284" s="342">
        <v>0</v>
      </c>
      <c r="AJ284" s="344">
        <f t="shared" si="42"/>
        <v>0</v>
      </c>
      <c r="AK284" s="342">
        <v>0</v>
      </c>
      <c r="AL284" s="784">
        <f t="shared" si="43"/>
        <v>0</v>
      </c>
      <c r="AM284" s="350">
        <v>24.931129470642198</v>
      </c>
      <c r="AN284" s="350">
        <v>24.781390211741833</v>
      </c>
      <c r="AO284" s="350">
        <v>28.989450656295581</v>
      </c>
      <c r="AP284" s="639">
        <f t="shared" si="44"/>
        <v>4.7909332522597129E-3</v>
      </c>
    </row>
    <row r="285" spans="1:42" x14ac:dyDescent="0.2">
      <c r="A285" s="638">
        <v>42522</v>
      </c>
      <c r="B285" s="341" t="s">
        <v>136</v>
      </c>
      <c r="C285" s="351" t="s">
        <v>194</v>
      </c>
      <c r="D285" s="342">
        <v>111572.15000442399</v>
      </c>
      <c r="E285" s="342">
        <v>5785</v>
      </c>
      <c r="F285" s="342">
        <v>105787.15000442399</v>
      </c>
      <c r="G285" s="342">
        <v>69354.000131130204</v>
      </c>
      <c r="H285" s="342">
        <v>35736.500031948097</v>
      </c>
      <c r="I285" s="342">
        <v>33617.5000991821</v>
      </c>
      <c r="J285" s="342">
        <v>2917.1800050735501</v>
      </c>
      <c r="K285" s="343">
        <v>66436.820126056642</v>
      </c>
      <c r="L285" s="342">
        <v>47303.550098419197</v>
      </c>
      <c r="M285" s="342">
        <v>-19.5</v>
      </c>
      <c r="N285" s="354">
        <v>429</v>
      </c>
      <c r="O285" s="343">
        <v>260.07494173525407</v>
      </c>
      <c r="P285" s="343">
        <v>149.85571073660793</v>
      </c>
      <c r="Q285" s="343">
        <v>161.66433597000045</v>
      </c>
      <c r="R285" s="344">
        <v>0.62160673724025395</v>
      </c>
      <c r="S285" s="344">
        <v>1.1300792010790408</v>
      </c>
      <c r="T285" s="343">
        <v>87621.52</v>
      </c>
      <c r="U285" s="342">
        <v>72374.53</v>
      </c>
      <c r="V285" s="342">
        <v>448.71</v>
      </c>
      <c r="W285" s="344">
        <f t="shared" si="45"/>
        <v>6.1998330075511369E-3</v>
      </c>
      <c r="X285" s="342">
        <v>1400.95</v>
      </c>
      <c r="Y285" s="344">
        <f t="shared" si="46"/>
        <v>1.9356947810231031E-2</v>
      </c>
      <c r="Z285" s="342">
        <v>2309.71</v>
      </c>
      <c r="AA285" s="344">
        <f t="shared" si="38"/>
        <v>3.1913298780662201E-2</v>
      </c>
      <c r="AB285" s="342">
        <v>311.81</v>
      </c>
      <c r="AC285" s="344">
        <f t="shared" si="39"/>
        <v>4.3082835909262554E-3</v>
      </c>
      <c r="AD285" s="342">
        <v>15246.99</v>
      </c>
      <c r="AE285" s="342">
        <v>1527.38</v>
      </c>
      <c r="AF285" s="344">
        <f t="shared" si="40"/>
        <v>0.10017583798507117</v>
      </c>
      <c r="AG285" s="342">
        <v>1517.93</v>
      </c>
      <c r="AH285" s="344">
        <f t="shared" si="41"/>
        <v>9.9556043520721144E-2</v>
      </c>
      <c r="AI285" s="342">
        <v>2109.9699999999998</v>
      </c>
      <c r="AJ285" s="344">
        <f t="shared" si="42"/>
        <v>0.13838600274545992</v>
      </c>
      <c r="AK285" s="342">
        <v>6157.26</v>
      </c>
      <c r="AL285" s="784">
        <f t="shared" si="43"/>
        <v>0.40383446175277876</v>
      </c>
      <c r="AM285" s="350">
        <v>25.12538755277043</v>
      </c>
      <c r="AN285" s="350">
        <v>22.141212890030317</v>
      </c>
      <c r="AO285" s="350">
        <v>69.748353156450136</v>
      </c>
      <c r="AP285" s="639">
        <f t="shared" si="44"/>
        <v>4.5376671722118705E-2</v>
      </c>
    </row>
    <row r="286" spans="1:42" x14ac:dyDescent="0.2">
      <c r="A286" s="638">
        <v>42522</v>
      </c>
      <c r="B286" s="341" t="s">
        <v>136</v>
      </c>
      <c r="C286" s="351" t="s">
        <v>195</v>
      </c>
      <c r="D286" s="342">
        <v>77517.190001010895</v>
      </c>
      <c r="E286" s="342">
        <v>2686</v>
      </c>
      <c r="F286" s="342">
        <v>74831.190001010895</v>
      </c>
      <c r="G286" s="342">
        <v>47269.550119290099</v>
      </c>
      <c r="H286" s="342">
        <v>27536.470054158901</v>
      </c>
      <c r="I286" s="342">
        <v>19733.080065131198</v>
      </c>
      <c r="J286" s="342">
        <v>1634.23999786377</v>
      </c>
      <c r="K286" s="343">
        <v>45635.31012142633</v>
      </c>
      <c r="L286" s="342">
        <v>37696.070116043098</v>
      </c>
      <c r="M286" s="342">
        <v>-145</v>
      </c>
      <c r="N286" s="354">
        <v>357</v>
      </c>
      <c r="O286" s="343">
        <v>217.13498599722939</v>
      </c>
      <c r="P286" s="343">
        <v>111.9499156441675</v>
      </c>
      <c r="Q286" s="343">
        <v>132.40770341537842</v>
      </c>
      <c r="R286" s="344">
        <v>0.60979442261353467</v>
      </c>
      <c r="S286" s="344">
        <v>1.2331654554514289</v>
      </c>
      <c r="T286" s="343">
        <v>58891.45</v>
      </c>
      <c r="U286" s="342">
        <v>50612.93</v>
      </c>
      <c r="V286" s="342">
        <v>1753.02</v>
      </c>
      <c r="W286" s="344">
        <f t="shared" si="45"/>
        <v>3.4635813417638536E-2</v>
      </c>
      <c r="X286" s="342">
        <v>736.02</v>
      </c>
      <c r="Y286" s="344">
        <f t="shared" si="46"/>
        <v>1.4542133798616281E-2</v>
      </c>
      <c r="Z286" s="342">
        <v>-66.98</v>
      </c>
      <c r="AA286" s="344">
        <v>0</v>
      </c>
      <c r="AB286" s="342">
        <v>240.51</v>
      </c>
      <c r="AC286" s="344">
        <f t="shared" si="39"/>
        <v>4.75194777302954E-3</v>
      </c>
      <c r="AD286" s="342">
        <v>8278.52</v>
      </c>
      <c r="AE286" s="342">
        <v>1023.95</v>
      </c>
      <c r="AF286" s="344">
        <f t="shared" si="40"/>
        <v>0.12368756734295502</v>
      </c>
      <c r="AG286" s="342">
        <v>1532.56</v>
      </c>
      <c r="AH286" s="344">
        <f t="shared" si="41"/>
        <v>0.18512487739354375</v>
      </c>
      <c r="AI286" s="342">
        <v>1022.28</v>
      </c>
      <c r="AJ286" s="344">
        <f t="shared" si="42"/>
        <v>0.12348584046423756</v>
      </c>
      <c r="AK286" s="342">
        <v>1405.64</v>
      </c>
      <c r="AL286" s="784">
        <f t="shared" si="43"/>
        <v>0.16979363461101743</v>
      </c>
      <c r="AM286" s="350">
        <v>22.611514177753357</v>
      </c>
      <c r="AN286" s="350">
        <v>20.348447151701869</v>
      </c>
      <c r="AO286" s="350">
        <v>70.649231936279165</v>
      </c>
      <c r="AP286" s="639">
        <f t="shared" si="44"/>
        <v>4.0890634431551269E-2</v>
      </c>
    </row>
    <row r="287" spans="1:42" x14ac:dyDescent="0.2">
      <c r="A287" s="638">
        <v>42522</v>
      </c>
      <c r="B287" s="341" t="s">
        <v>136</v>
      </c>
      <c r="C287" s="351" t="s">
        <v>196</v>
      </c>
      <c r="D287" s="342">
        <v>87393.710001468702</v>
      </c>
      <c r="E287" s="342">
        <v>5569</v>
      </c>
      <c r="F287" s="342">
        <v>81824.710001468702</v>
      </c>
      <c r="G287" s="342">
        <v>54248.3601160049</v>
      </c>
      <c r="H287" s="342">
        <v>28306.900006294301</v>
      </c>
      <c r="I287" s="342">
        <v>25941.460109710701</v>
      </c>
      <c r="J287" s="342">
        <v>1384.7700021266901</v>
      </c>
      <c r="K287" s="343">
        <v>52863.590113878308</v>
      </c>
      <c r="L287" s="342">
        <v>37527.590076446497</v>
      </c>
      <c r="M287" s="342">
        <v>-22.159999847411999</v>
      </c>
      <c r="N287" s="354">
        <v>402</v>
      </c>
      <c r="O287" s="343">
        <v>217.39728856086742</v>
      </c>
      <c r="P287" s="343">
        <v>124.10019881808363</v>
      </c>
      <c r="Q287" s="343">
        <v>134.94616944279852</v>
      </c>
      <c r="R287" s="344">
        <v>0.62073529222061097</v>
      </c>
      <c r="S287" s="344">
        <v>1.11844194785929</v>
      </c>
      <c r="T287" s="343">
        <v>59168.79</v>
      </c>
      <c r="U287" s="342">
        <v>54731.040000000001</v>
      </c>
      <c r="V287" s="342">
        <v>1289.19</v>
      </c>
      <c r="W287" s="344">
        <f t="shared" si="45"/>
        <v>2.3555006446067898E-2</v>
      </c>
      <c r="X287" s="342">
        <v>0</v>
      </c>
      <c r="Y287" s="344">
        <f t="shared" si="46"/>
        <v>0</v>
      </c>
      <c r="Z287" s="342">
        <v>0</v>
      </c>
      <c r="AA287" s="344">
        <f t="shared" si="38"/>
        <v>0</v>
      </c>
      <c r="AB287" s="342">
        <v>0</v>
      </c>
      <c r="AC287" s="344">
        <f t="shared" si="39"/>
        <v>0</v>
      </c>
      <c r="AD287" s="342">
        <v>4437.75</v>
      </c>
      <c r="AE287" s="342">
        <v>1583.02</v>
      </c>
      <c r="AF287" s="344">
        <f t="shared" si="40"/>
        <v>0.35671680468705991</v>
      </c>
      <c r="AG287" s="342">
        <v>169.72</v>
      </c>
      <c r="AH287" s="344">
        <f t="shared" si="41"/>
        <v>3.8244605937693653E-2</v>
      </c>
      <c r="AI287" s="342">
        <v>0</v>
      </c>
      <c r="AJ287" s="344">
        <f t="shared" si="42"/>
        <v>0</v>
      </c>
      <c r="AK287" s="342">
        <v>0</v>
      </c>
      <c r="AL287" s="784">
        <f t="shared" si="43"/>
        <v>0</v>
      </c>
      <c r="AM287" s="350">
        <v>20.584486039195188</v>
      </c>
      <c r="AN287" s="350">
        <v>20.417099104281281</v>
      </c>
      <c r="AO287" s="350">
        <v>22.899919729373316</v>
      </c>
      <c r="AP287" s="639">
        <f t="shared" si="44"/>
        <v>2.775742126631978E-2</v>
      </c>
    </row>
    <row r="288" spans="1:42" x14ac:dyDescent="0.2">
      <c r="A288" s="638">
        <v>42522</v>
      </c>
      <c r="B288" s="341" t="s">
        <v>136</v>
      </c>
      <c r="C288" s="351" t="s">
        <v>290</v>
      </c>
      <c r="D288" s="342">
        <v>51496.700001487501</v>
      </c>
      <c r="E288" s="342">
        <v>4020</v>
      </c>
      <c r="F288" s="342">
        <v>47476.700001487501</v>
      </c>
      <c r="G288" s="342">
        <v>19137.230028152499</v>
      </c>
      <c r="H288" s="342">
        <v>5945.6299839019803</v>
      </c>
      <c r="I288" s="342">
        <v>13191.600044250499</v>
      </c>
      <c r="J288" s="342">
        <v>0</v>
      </c>
      <c r="K288" s="343">
        <v>19137.23002815248</v>
      </c>
      <c r="L288" s="342">
        <v>10859.3700180054</v>
      </c>
      <c r="M288" s="342">
        <v>40</v>
      </c>
      <c r="N288" s="354">
        <v>246</v>
      </c>
      <c r="O288" s="343">
        <v>209.33617886783537</v>
      </c>
      <c r="P288" s="343">
        <v>165.02979668082156</v>
      </c>
      <c r="Q288" s="343">
        <v>77.793618000619844</v>
      </c>
      <c r="R288" s="344">
        <v>0.37162051214154879</v>
      </c>
      <c r="S288" s="344">
        <v>0.47139134607962829</v>
      </c>
      <c r="T288" s="343">
        <v>27437.719999999998</v>
      </c>
      <c r="U288" s="342">
        <v>26869.35</v>
      </c>
      <c r="V288" s="342">
        <v>0</v>
      </c>
      <c r="W288" s="344">
        <f t="shared" si="45"/>
        <v>0</v>
      </c>
      <c r="X288" s="342">
        <v>0</v>
      </c>
      <c r="Y288" s="344">
        <f t="shared" si="46"/>
        <v>0</v>
      </c>
      <c r="Z288" s="342">
        <v>0</v>
      </c>
      <c r="AA288" s="344">
        <f t="shared" si="38"/>
        <v>0</v>
      </c>
      <c r="AB288" s="342">
        <v>0</v>
      </c>
      <c r="AC288" s="344">
        <f t="shared" si="39"/>
        <v>0</v>
      </c>
      <c r="AD288" s="342">
        <v>568.37</v>
      </c>
      <c r="AE288" s="342">
        <v>0</v>
      </c>
      <c r="AF288" s="344">
        <f t="shared" si="40"/>
        <v>0</v>
      </c>
      <c r="AG288" s="342">
        <v>0</v>
      </c>
      <c r="AH288" s="344">
        <f t="shared" si="41"/>
        <v>0</v>
      </c>
      <c r="AI288" s="342">
        <v>0</v>
      </c>
      <c r="AJ288" s="344">
        <f t="shared" si="42"/>
        <v>0</v>
      </c>
      <c r="AK288" s="342">
        <v>0</v>
      </c>
      <c r="AL288" s="784">
        <f t="shared" si="43"/>
        <v>0</v>
      </c>
      <c r="AM288" s="350">
        <v>27.367381268232045</v>
      </c>
      <c r="AN288" s="350">
        <v>28.918095878972824</v>
      </c>
      <c r="AO288" s="350">
        <v>7.7417026106696936</v>
      </c>
      <c r="AP288" s="639">
        <f t="shared" si="44"/>
        <v>0</v>
      </c>
    </row>
    <row r="289" spans="1:42" x14ac:dyDescent="0.2">
      <c r="A289" s="638">
        <v>42522</v>
      </c>
      <c r="B289" s="341" t="s">
        <v>137</v>
      </c>
      <c r="C289" s="351" t="s">
        <v>209</v>
      </c>
      <c r="D289" s="342">
        <v>60612.370000362404</v>
      </c>
      <c r="E289" s="342">
        <v>4097</v>
      </c>
      <c r="F289" s="342">
        <v>56515.370000362404</v>
      </c>
      <c r="G289" s="342">
        <v>40350.079990685001</v>
      </c>
      <c r="H289" s="342">
        <v>23150.2399692535</v>
      </c>
      <c r="I289" s="342">
        <v>17199.840021431399</v>
      </c>
      <c r="J289" s="342">
        <v>1096.4599952697799</v>
      </c>
      <c r="K289" s="343">
        <v>39253.619995415116</v>
      </c>
      <c r="L289" s="342">
        <v>26261.2399845123</v>
      </c>
      <c r="M289" s="342">
        <v>-7.6399993896479996</v>
      </c>
      <c r="N289" s="354">
        <v>262</v>
      </c>
      <c r="O289" s="343">
        <v>231.34492366550535</v>
      </c>
      <c r="P289" s="343">
        <v>131.14034356961739</v>
      </c>
      <c r="Q289" s="343">
        <v>154.00793889574388</v>
      </c>
      <c r="R289" s="344">
        <v>0.66570701641337637</v>
      </c>
      <c r="S289" s="344">
        <v>1.2130871237283154</v>
      </c>
      <c r="T289" s="343">
        <v>39551.5</v>
      </c>
      <c r="U289" s="342">
        <v>33980.74</v>
      </c>
      <c r="V289" s="342">
        <v>1038.1300000000001</v>
      </c>
      <c r="W289" s="344">
        <f t="shared" si="45"/>
        <v>3.0550541277205856E-2</v>
      </c>
      <c r="X289" s="342">
        <v>259.91000000000003</v>
      </c>
      <c r="Y289" s="344">
        <f t="shared" si="46"/>
        <v>7.6487445535323847E-3</v>
      </c>
      <c r="Z289" s="342">
        <v>80.489999999999995</v>
      </c>
      <c r="AA289" s="344">
        <f t="shared" si="38"/>
        <v>2.3686947370775329E-3</v>
      </c>
      <c r="AB289" s="342">
        <v>0</v>
      </c>
      <c r="AC289" s="344">
        <f t="shared" si="39"/>
        <v>0</v>
      </c>
      <c r="AD289" s="342">
        <v>5570.76</v>
      </c>
      <c r="AE289" s="342">
        <v>1103.94</v>
      </c>
      <c r="AF289" s="344">
        <f t="shared" si="40"/>
        <v>0.19816685694591044</v>
      </c>
      <c r="AG289" s="342">
        <v>877.67</v>
      </c>
      <c r="AH289" s="344">
        <f t="shared" si="41"/>
        <v>0.15754941875076289</v>
      </c>
      <c r="AI289" s="342">
        <v>15</v>
      </c>
      <c r="AJ289" s="344">
        <f t="shared" si="42"/>
        <v>2.6926308080046529E-3</v>
      </c>
      <c r="AK289" s="342">
        <v>0</v>
      </c>
      <c r="AL289" s="784">
        <f t="shared" si="43"/>
        <v>0</v>
      </c>
      <c r="AM289" s="350">
        <v>18.530274649730121</v>
      </c>
      <c r="AN289" s="350">
        <v>17.245863637149121</v>
      </c>
      <c r="AO289" s="350">
        <v>33.95654588554013</v>
      </c>
      <c r="AP289" s="639">
        <f t="shared" si="44"/>
        <v>3.1912085176024861E-2</v>
      </c>
    </row>
    <row r="290" spans="1:42" x14ac:dyDescent="0.2">
      <c r="A290" s="638">
        <v>42522</v>
      </c>
      <c r="B290" s="341" t="s">
        <v>137</v>
      </c>
      <c r="C290" s="351" t="s">
        <v>197</v>
      </c>
      <c r="D290" s="342">
        <v>161733.91000127801</v>
      </c>
      <c r="E290" s="342">
        <v>9952</v>
      </c>
      <c r="F290" s="342">
        <v>151781.91000127801</v>
      </c>
      <c r="G290" s="342">
        <v>112196.60017452401</v>
      </c>
      <c r="H290" s="342">
        <v>63271.210045911401</v>
      </c>
      <c r="I290" s="342">
        <v>48925.390128612496</v>
      </c>
      <c r="J290" s="342">
        <v>4008.8000082969702</v>
      </c>
      <c r="K290" s="343">
        <v>108187.80016622692</v>
      </c>
      <c r="L290" s="342">
        <v>72878.410019367904</v>
      </c>
      <c r="M290" s="342">
        <v>491.549995422363</v>
      </c>
      <c r="N290" s="354">
        <v>679</v>
      </c>
      <c r="O290" s="343">
        <v>238.19427098862741</v>
      </c>
      <c r="P290" s="343">
        <v>130.13836522310419</v>
      </c>
      <c r="Q290" s="343">
        <v>165.23799731152266</v>
      </c>
      <c r="R290" s="344">
        <v>0.69371104781698112</v>
      </c>
      <c r="S290" s="344">
        <v>1.3300503905633652</v>
      </c>
      <c r="T290" s="343">
        <v>138973.04999999999</v>
      </c>
      <c r="U290" s="342">
        <v>117892.23</v>
      </c>
      <c r="V290" s="342">
        <v>6434.92</v>
      </c>
      <c r="W290" s="344">
        <f t="shared" si="45"/>
        <v>5.4583071335574877E-2</v>
      </c>
      <c r="X290" s="342">
        <v>3041.55</v>
      </c>
      <c r="Y290" s="344">
        <f t="shared" si="46"/>
        <v>2.5799410190137213E-2</v>
      </c>
      <c r="Z290" s="342">
        <v>2413.75</v>
      </c>
      <c r="AA290" s="344">
        <f t="shared" si="38"/>
        <v>2.0474207672549753E-2</v>
      </c>
      <c r="AB290" s="342">
        <v>4772.32</v>
      </c>
      <c r="AC290" s="344">
        <f t="shared" si="39"/>
        <v>4.0480360749813621E-2</v>
      </c>
      <c r="AD290" s="342">
        <v>21080.82</v>
      </c>
      <c r="AE290" s="342">
        <v>4712.87</v>
      </c>
      <c r="AF290" s="344">
        <f t="shared" si="40"/>
        <v>0.22356198667793759</v>
      </c>
      <c r="AG290" s="342">
        <v>2176.65</v>
      </c>
      <c r="AH290" s="344">
        <f t="shared" si="41"/>
        <v>0.10325262489789297</v>
      </c>
      <c r="AI290" s="342">
        <v>1900.09</v>
      </c>
      <c r="AJ290" s="344">
        <f t="shared" si="42"/>
        <v>9.0133590628827531E-2</v>
      </c>
      <c r="AK290" s="342">
        <v>6191.24</v>
      </c>
      <c r="AL290" s="784">
        <f t="shared" si="43"/>
        <v>0.29369066288692752</v>
      </c>
      <c r="AM290" s="350">
        <v>25.198876019922611</v>
      </c>
      <c r="AN290" s="350">
        <v>22.447517139141191</v>
      </c>
      <c r="AO290" s="350">
        <v>80.111210572984845</v>
      </c>
      <c r="AP290" s="639">
        <f t="shared" si="44"/>
        <v>4.5366917265581494E-2</v>
      </c>
    </row>
    <row r="291" spans="1:42" x14ac:dyDescent="0.2">
      <c r="A291" s="638">
        <v>42522</v>
      </c>
      <c r="B291" s="341" t="s">
        <v>137</v>
      </c>
      <c r="C291" s="351" t="s">
        <v>198</v>
      </c>
      <c r="D291" s="342">
        <v>0</v>
      </c>
      <c r="E291" s="342">
        <v>0</v>
      </c>
      <c r="F291" s="342">
        <v>0</v>
      </c>
      <c r="G291" s="342">
        <v>0</v>
      </c>
      <c r="H291" s="342">
        <v>0</v>
      </c>
      <c r="I291" s="342">
        <v>0</v>
      </c>
      <c r="J291" s="342">
        <v>0</v>
      </c>
      <c r="K291" s="343">
        <v>0</v>
      </c>
      <c r="L291" s="342">
        <v>0</v>
      </c>
      <c r="M291" s="342">
        <v>0</v>
      </c>
      <c r="N291" s="354">
        <v>0</v>
      </c>
      <c r="O291" s="343" t="s">
        <v>311</v>
      </c>
      <c r="P291" s="343" t="s">
        <v>311</v>
      </c>
      <c r="Q291" s="343" t="s">
        <v>311</v>
      </c>
      <c r="R291" s="344" t="s">
        <v>312</v>
      </c>
      <c r="S291" s="344" t="s">
        <v>312</v>
      </c>
      <c r="T291" s="343">
        <v>0</v>
      </c>
      <c r="U291" s="342">
        <v>0</v>
      </c>
      <c r="V291" s="342">
        <v>0</v>
      </c>
      <c r="W291" s="344" t="str">
        <f t="shared" si="45"/>
        <v>0.00%</v>
      </c>
      <c r="X291" s="342">
        <v>0</v>
      </c>
      <c r="Y291" s="344" t="str">
        <f t="shared" si="46"/>
        <v>0.00%</v>
      </c>
      <c r="Z291" s="342">
        <v>0</v>
      </c>
      <c r="AA291" s="344">
        <f t="shared" si="38"/>
        <v>0</v>
      </c>
      <c r="AB291" s="342">
        <v>0</v>
      </c>
      <c r="AC291" s="344" t="str">
        <f t="shared" si="39"/>
        <v>0.00%</v>
      </c>
      <c r="AD291" s="342">
        <v>0</v>
      </c>
      <c r="AE291" s="342">
        <v>0</v>
      </c>
      <c r="AF291" s="344" t="str">
        <f t="shared" si="40"/>
        <v>0.00%</v>
      </c>
      <c r="AG291" s="342">
        <v>0</v>
      </c>
      <c r="AH291" s="344" t="str">
        <f t="shared" si="41"/>
        <v>0.00%</v>
      </c>
      <c r="AI291" s="342">
        <v>0</v>
      </c>
      <c r="AJ291" s="344">
        <f t="shared" si="42"/>
        <v>0</v>
      </c>
      <c r="AK291" s="342">
        <v>0</v>
      </c>
      <c r="AL291" s="784" t="str">
        <f t="shared" si="43"/>
        <v>0.00%</v>
      </c>
      <c r="AM291" s="350" t="s">
        <v>313</v>
      </c>
      <c r="AN291" s="350" t="s">
        <v>313</v>
      </c>
      <c r="AO291" s="350" t="s">
        <v>313</v>
      </c>
      <c r="AP291" s="639" t="str">
        <f t="shared" si="44"/>
        <v>0.00%</v>
      </c>
    </row>
    <row r="292" spans="1:42" x14ac:dyDescent="0.2">
      <c r="A292" s="638">
        <v>42522</v>
      </c>
      <c r="B292" s="341" t="s">
        <v>137</v>
      </c>
      <c r="C292" s="351" t="s">
        <v>199</v>
      </c>
      <c r="D292" s="342">
        <v>210568.06000573901</v>
      </c>
      <c r="E292" s="342">
        <v>10106</v>
      </c>
      <c r="F292" s="342">
        <v>200462.06000573901</v>
      </c>
      <c r="G292" s="342">
        <v>164183.06013935799</v>
      </c>
      <c r="H292" s="342">
        <v>96556.480048865094</v>
      </c>
      <c r="I292" s="342">
        <v>67626.580090492993</v>
      </c>
      <c r="J292" s="342">
        <v>7881.4200112819699</v>
      </c>
      <c r="K292" s="343">
        <v>156301.64012807613</v>
      </c>
      <c r="L292" s="342">
        <v>92339.590002128898</v>
      </c>
      <c r="M292" s="342">
        <v>3898.8099952787202</v>
      </c>
      <c r="N292" s="354">
        <v>1043</v>
      </c>
      <c r="O292" s="343">
        <v>201.88692234490796</v>
      </c>
      <c r="P292" s="343">
        <v>109.61616491690451</v>
      </c>
      <c r="Q292" s="343">
        <v>157.41424749698763</v>
      </c>
      <c r="R292" s="344">
        <v>0.77971492986582724</v>
      </c>
      <c r="S292" s="344">
        <v>1.5423745864084646</v>
      </c>
      <c r="T292" s="343">
        <v>178608.59</v>
      </c>
      <c r="U292" s="342">
        <v>135795.60999999999</v>
      </c>
      <c r="V292" s="342">
        <v>2858.15</v>
      </c>
      <c r="W292" s="344">
        <f t="shared" si="45"/>
        <v>2.1047440340670808E-2</v>
      </c>
      <c r="X292" s="342">
        <v>2032.89</v>
      </c>
      <c r="Y292" s="344">
        <f t="shared" si="46"/>
        <v>1.4970218845808051E-2</v>
      </c>
      <c r="Z292" s="342">
        <v>2948.27</v>
      </c>
      <c r="AA292" s="344">
        <f t="shared" si="38"/>
        <v>2.1711084769235178E-2</v>
      </c>
      <c r="AB292" s="342">
        <v>10602.53</v>
      </c>
      <c r="AC292" s="344">
        <f t="shared" si="39"/>
        <v>7.807711898786715E-2</v>
      </c>
      <c r="AD292" s="342">
        <v>42812.98</v>
      </c>
      <c r="AE292" s="342">
        <v>4988.03</v>
      </c>
      <c r="AF292" s="344">
        <f t="shared" si="40"/>
        <v>0.11650742368319139</v>
      </c>
      <c r="AG292" s="342">
        <v>3363.68</v>
      </c>
      <c r="AH292" s="344">
        <f t="shared" si="41"/>
        <v>7.8566827163164057E-2</v>
      </c>
      <c r="AI292" s="342">
        <v>5034.2299999999996</v>
      </c>
      <c r="AJ292" s="344">
        <f t="shared" si="42"/>
        <v>0.11758653567212558</v>
      </c>
      <c r="AK292" s="342">
        <v>22450.05</v>
      </c>
      <c r="AL292" s="784">
        <f t="shared" si="43"/>
        <v>0.52437485080459234</v>
      </c>
      <c r="AM292" s="350">
        <v>23.023623343511296</v>
      </c>
      <c r="AN292" s="350">
        <v>18.293212221273517</v>
      </c>
      <c r="AO292" s="350">
        <v>128.05052008906318</v>
      </c>
      <c r="AP292" s="639">
        <f t="shared" si="44"/>
        <v>6.8935917510011296E-2</v>
      </c>
    </row>
    <row r="293" spans="1:42" x14ac:dyDescent="0.2">
      <c r="A293" s="638">
        <v>42522</v>
      </c>
      <c r="B293" s="341" t="s">
        <v>137</v>
      </c>
      <c r="C293" s="351" t="s">
        <v>200</v>
      </c>
      <c r="D293" s="342">
        <v>0</v>
      </c>
      <c r="E293" s="342">
        <v>0</v>
      </c>
      <c r="F293" s="342">
        <v>0</v>
      </c>
      <c r="G293" s="342">
        <v>51.589999675750001</v>
      </c>
      <c r="H293" s="342">
        <v>0</v>
      </c>
      <c r="I293" s="342">
        <v>51.589999675750001</v>
      </c>
      <c r="J293" s="342">
        <v>0</v>
      </c>
      <c r="K293" s="343">
        <v>51.589999675750001</v>
      </c>
      <c r="L293" s="342">
        <v>0</v>
      </c>
      <c r="M293" s="342">
        <v>63.179999113081998</v>
      </c>
      <c r="N293" s="354">
        <v>0</v>
      </c>
      <c r="O293" s="343" t="s">
        <v>311</v>
      </c>
      <c r="P293" s="343" t="s">
        <v>311</v>
      </c>
      <c r="Q293" s="343" t="s">
        <v>311</v>
      </c>
      <c r="R293" s="344" t="s">
        <v>312</v>
      </c>
      <c r="S293" s="344">
        <v>-0.81655587844204036</v>
      </c>
      <c r="T293" s="343">
        <v>706.31999999999994</v>
      </c>
      <c r="U293" s="342">
        <v>767.52</v>
      </c>
      <c r="V293" s="342">
        <v>0</v>
      </c>
      <c r="W293" s="344">
        <f t="shared" si="45"/>
        <v>0</v>
      </c>
      <c r="X293" s="342">
        <v>0</v>
      </c>
      <c r="Y293" s="344">
        <f t="shared" si="46"/>
        <v>0</v>
      </c>
      <c r="Z293" s="342">
        <v>0</v>
      </c>
      <c r="AA293" s="344">
        <f t="shared" si="38"/>
        <v>0</v>
      </c>
      <c r="AB293" s="342">
        <v>767.52</v>
      </c>
      <c r="AC293" s="344">
        <f t="shared" si="39"/>
        <v>1</v>
      </c>
      <c r="AD293" s="342">
        <v>-61.2</v>
      </c>
      <c r="AE293" s="342">
        <v>0</v>
      </c>
      <c r="AF293" s="344">
        <f t="shared" si="40"/>
        <v>0</v>
      </c>
      <c r="AG293" s="342">
        <v>0</v>
      </c>
      <c r="AH293" s="344">
        <f t="shared" si="41"/>
        <v>0</v>
      </c>
      <c r="AI293" s="342">
        <v>0</v>
      </c>
      <c r="AJ293" s="344">
        <f t="shared" si="42"/>
        <v>0</v>
      </c>
      <c r="AK293" s="342">
        <v>-61.2</v>
      </c>
      <c r="AL293" s="784">
        <f t="shared" si="43"/>
        <v>1</v>
      </c>
      <c r="AM293" s="350" t="s">
        <v>313</v>
      </c>
      <c r="AN293" s="350" t="s">
        <v>313</v>
      </c>
      <c r="AO293" s="350" t="s">
        <v>313</v>
      </c>
      <c r="AP293" s="639">
        <f t="shared" si="44"/>
        <v>0</v>
      </c>
    </row>
    <row r="294" spans="1:42" x14ac:dyDescent="0.2">
      <c r="A294" s="638">
        <v>42522</v>
      </c>
      <c r="B294" s="341" t="s">
        <v>137</v>
      </c>
      <c r="C294" s="351" t="s">
        <v>201</v>
      </c>
      <c r="D294" s="342">
        <v>244463.83000052499</v>
      </c>
      <c r="E294" s="342">
        <v>7084</v>
      </c>
      <c r="F294" s="342">
        <v>237379.83000052499</v>
      </c>
      <c r="G294" s="342">
        <v>180109.62006689599</v>
      </c>
      <c r="H294" s="342">
        <v>124790.27001906899</v>
      </c>
      <c r="I294" s="342">
        <v>55319.350047826803</v>
      </c>
      <c r="J294" s="342">
        <v>5795.3899860382098</v>
      </c>
      <c r="K294" s="343">
        <v>174314.23008085758</v>
      </c>
      <c r="L294" s="342">
        <v>116327.510278245</v>
      </c>
      <c r="M294" s="342">
        <v>6814.5000050067902</v>
      </c>
      <c r="N294" s="354">
        <v>1055</v>
      </c>
      <c r="O294" s="343">
        <v>231.71927014267771</v>
      </c>
      <c r="P294" s="343">
        <v>114.99698551400304</v>
      </c>
      <c r="Q294" s="343">
        <v>170.72001902075431</v>
      </c>
      <c r="R294" s="344">
        <v>0.73675365417660765</v>
      </c>
      <c r="S294" s="344">
        <v>1.5590338980085297</v>
      </c>
      <c r="T294" s="343">
        <v>309522.63</v>
      </c>
      <c r="U294" s="342">
        <v>245427.03</v>
      </c>
      <c r="V294" s="342">
        <v>8730.7099999999991</v>
      </c>
      <c r="W294" s="344">
        <f t="shared" si="45"/>
        <v>3.5573547053883998E-2</v>
      </c>
      <c r="X294" s="342">
        <v>8486.9699999999993</v>
      </c>
      <c r="Y294" s="344">
        <f t="shared" si="46"/>
        <v>3.4580420909628408E-2</v>
      </c>
      <c r="Z294" s="342">
        <v>4207.1000000000004</v>
      </c>
      <c r="AA294" s="344">
        <f t="shared" si="38"/>
        <v>1.7141958650601773E-2</v>
      </c>
      <c r="AB294" s="342">
        <v>22966.48</v>
      </c>
      <c r="AC294" s="344">
        <f t="shared" si="39"/>
        <v>9.357763079315265E-2</v>
      </c>
      <c r="AD294" s="342">
        <v>64095.6</v>
      </c>
      <c r="AE294" s="342">
        <v>6942.36</v>
      </c>
      <c r="AF294" s="344">
        <f t="shared" si="40"/>
        <v>0.10831258307902571</v>
      </c>
      <c r="AG294" s="342">
        <v>8163.42</v>
      </c>
      <c r="AH294" s="344">
        <f t="shared" si="41"/>
        <v>0.12736318873682437</v>
      </c>
      <c r="AI294" s="342">
        <v>6659.3</v>
      </c>
      <c r="AJ294" s="344">
        <f t="shared" si="42"/>
        <v>0.10389636730134362</v>
      </c>
      <c r="AK294" s="342">
        <v>32754.31</v>
      </c>
      <c r="AL294" s="784">
        <f t="shared" si="43"/>
        <v>0.5110227535119416</v>
      </c>
      <c r="AM294" s="350">
        <v>34.549557558219419</v>
      </c>
      <c r="AN294" s="350">
        <v>28.215043238413479</v>
      </c>
      <c r="AO294" s="350">
        <v>246.18487538409013</v>
      </c>
      <c r="AP294" s="639">
        <f t="shared" si="44"/>
        <v>4.7768736073558006E-2</v>
      </c>
    </row>
    <row r="295" spans="1:42" x14ac:dyDescent="0.2">
      <c r="A295" s="638">
        <v>42522</v>
      </c>
      <c r="B295" s="341" t="s">
        <v>137</v>
      </c>
      <c r="C295" s="351" t="s">
        <v>202</v>
      </c>
      <c r="D295" s="342">
        <v>0</v>
      </c>
      <c r="E295" s="342">
        <v>0</v>
      </c>
      <c r="F295" s="342">
        <v>0</v>
      </c>
      <c r="G295" s="342">
        <v>0</v>
      </c>
      <c r="H295" s="342">
        <v>0</v>
      </c>
      <c r="I295" s="342">
        <v>0</v>
      </c>
      <c r="J295" s="342">
        <v>0</v>
      </c>
      <c r="K295" s="343">
        <v>0</v>
      </c>
      <c r="L295" s="342">
        <v>0</v>
      </c>
      <c r="M295" s="342">
        <v>0</v>
      </c>
      <c r="N295" s="354">
        <v>0</v>
      </c>
      <c r="O295" s="343" t="s">
        <v>311</v>
      </c>
      <c r="P295" s="343" t="s">
        <v>311</v>
      </c>
      <c r="Q295" s="343" t="s">
        <v>311</v>
      </c>
      <c r="R295" s="344" t="s">
        <v>312</v>
      </c>
      <c r="S295" s="344" t="s">
        <v>312</v>
      </c>
      <c r="T295" s="343">
        <v>0</v>
      </c>
      <c r="U295" s="342">
        <v>0</v>
      </c>
      <c r="V295" s="342">
        <v>0</v>
      </c>
      <c r="W295" s="344" t="str">
        <f t="shared" si="45"/>
        <v>0.00%</v>
      </c>
      <c r="X295" s="342">
        <v>0</v>
      </c>
      <c r="Y295" s="344" t="str">
        <f t="shared" si="46"/>
        <v>0.00%</v>
      </c>
      <c r="Z295" s="342">
        <v>0</v>
      </c>
      <c r="AA295" s="344">
        <f t="shared" si="38"/>
        <v>0</v>
      </c>
      <c r="AB295" s="342">
        <v>0</v>
      </c>
      <c r="AC295" s="344" t="str">
        <f t="shared" si="39"/>
        <v>0.00%</v>
      </c>
      <c r="AD295" s="342">
        <v>0</v>
      </c>
      <c r="AE295" s="342">
        <v>0</v>
      </c>
      <c r="AF295" s="344" t="str">
        <f t="shared" si="40"/>
        <v>0.00%</v>
      </c>
      <c r="AG295" s="342">
        <v>0</v>
      </c>
      <c r="AH295" s="344" t="str">
        <f t="shared" si="41"/>
        <v>0.00%</v>
      </c>
      <c r="AI295" s="342">
        <v>0</v>
      </c>
      <c r="AJ295" s="344">
        <f t="shared" si="42"/>
        <v>0</v>
      </c>
      <c r="AK295" s="342">
        <v>0</v>
      </c>
      <c r="AL295" s="784" t="str">
        <f t="shared" si="43"/>
        <v>0.00%</v>
      </c>
      <c r="AM295" s="350" t="s">
        <v>313</v>
      </c>
      <c r="AN295" s="350" t="s">
        <v>313</v>
      </c>
      <c r="AO295" s="350" t="s">
        <v>313</v>
      </c>
      <c r="AP295" s="639" t="str">
        <f t="shared" si="44"/>
        <v>0.00%</v>
      </c>
    </row>
    <row r="296" spans="1:42" x14ac:dyDescent="0.2">
      <c r="A296" s="638">
        <v>42522</v>
      </c>
      <c r="B296" s="341" t="s">
        <v>137</v>
      </c>
      <c r="C296" s="351" t="s">
        <v>203</v>
      </c>
      <c r="D296" s="342">
        <v>167855.880003242</v>
      </c>
      <c r="E296" s="342">
        <v>8723</v>
      </c>
      <c r="F296" s="342">
        <v>159132.880003242</v>
      </c>
      <c r="G296" s="342">
        <v>119109.62020570401</v>
      </c>
      <c r="H296" s="342">
        <v>67338.730145875394</v>
      </c>
      <c r="I296" s="342">
        <v>51770.890059828802</v>
      </c>
      <c r="J296" s="342">
        <v>7211.8800067901602</v>
      </c>
      <c r="K296" s="343">
        <v>111897.74019891403</v>
      </c>
      <c r="L296" s="342">
        <v>64117.479919224999</v>
      </c>
      <c r="M296" s="342">
        <v>3953.68998861313</v>
      </c>
      <c r="N296" s="354">
        <v>917</v>
      </c>
      <c r="O296" s="343">
        <v>183.04894220637078</v>
      </c>
      <c r="P296" s="343">
        <v>108.81647774853202</v>
      </c>
      <c r="Q296" s="343">
        <v>129.89053457546805</v>
      </c>
      <c r="R296" s="344">
        <v>0.70959456531045373</v>
      </c>
      <c r="S296" s="344">
        <v>1.2866585162373088</v>
      </c>
      <c r="T296" s="343">
        <v>152928.46000000002</v>
      </c>
      <c r="U296" s="342">
        <v>121177.88</v>
      </c>
      <c r="V296" s="342">
        <v>4011.93</v>
      </c>
      <c r="W296" s="344">
        <f t="shared" si="45"/>
        <v>3.3107775115392347E-2</v>
      </c>
      <c r="X296" s="342">
        <v>2810.3</v>
      </c>
      <c r="Y296" s="344">
        <f t="shared" si="46"/>
        <v>2.3191526374285471E-2</v>
      </c>
      <c r="Z296" s="342">
        <v>2885.68</v>
      </c>
      <c r="AA296" s="344">
        <f t="shared" si="38"/>
        <v>2.3813587100219937E-2</v>
      </c>
      <c r="AB296" s="342">
        <v>12421.47</v>
      </c>
      <c r="AC296" s="344">
        <f t="shared" si="39"/>
        <v>0.10250608444379451</v>
      </c>
      <c r="AD296" s="342">
        <v>31750.58</v>
      </c>
      <c r="AE296" s="342">
        <v>2417.0100000000002</v>
      </c>
      <c r="AF296" s="344">
        <f t="shared" si="40"/>
        <v>7.6124908584347117E-2</v>
      </c>
      <c r="AG296" s="342">
        <v>3103.67</v>
      </c>
      <c r="AH296" s="344">
        <f t="shared" si="41"/>
        <v>9.7751600128249627E-2</v>
      </c>
      <c r="AI296" s="342">
        <v>3559.75</v>
      </c>
      <c r="AJ296" s="344">
        <f t="shared" si="42"/>
        <v>0.11211606213177837</v>
      </c>
      <c r="AK296" s="342">
        <v>16607.439999999999</v>
      </c>
      <c r="AL296" s="784">
        <f t="shared" si="43"/>
        <v>0.52305942127671357</v>
      </c>
      <c r="AM296" s="350">
        <v>26.138482957629702</v>
      </c>
      <c r="AN296" s="350">
        <v>21.836076077825002</v>
      </c>
      <c r="AO296" s="350">
        <v>105.39028546138528</v>
      </c>
      <c r="AP296" s="639">
        <f t="shared" si="44"/>
        <v>7.22743995537483E-2</v>
      </c>
    </row>
    <row r="297" spans="1:42" x14ac:dyDescent="0.2">
      <c r="A297" s="638">
        <v>42522</v>
      </c>
      <c r="B297" s="341" t="s">
        <v>137</v>
      </c>
      <c r="C297" s="351" t="s">
        <v>204</v>
      </c>
      <c r="D297" s="342">
        <v>56776.959999084502</v>
      </c>
      <c r="E297" s="342">
        <v>4188</v>
      </c>
      <c r="F297" s="342">
        <v>52588.959999084502</v>
      </c>
      <c r="G297" s="342">
        <v>39426.060062766097</v>
      </c>
      <c r="H297" s="342">
        <v>21519.050015807199</v>
      </c>
      <c r="I297" s="342">
        <v>17907.010046958902</v>
      </c>
      <c r="J297" s="342">
        <v>1357.5500011444101</v>
      </c>
      <c r="K297" s="343">
        <v>38068.510061621695</v>
      </c>
      <c r="L297" s="342">
        <v>26132.020030975302</v>
      </c>
      <c r="M297" s="342">
        <v>56.5</v>
      </c>
      <c r="N297" s="354">
        <v>345</v>
      </c>
      <c r="O297" s="343">
        <v>164.57089854807103</v>
      </c>
      <c r="P297" s="343">
        <v>88.662144835099127</v>
      </c>
      <c r="Q297" s="343">
        <v>114.27843496453943</v>
      </c>
      <c r="R297" s="344">
        <v>0.69440244887013725</v>
      </c>
      <c r="S297" s="344">
        <v>1.3487806942355622</v>
      </c>
      <c r="T297" s="343">
        <v>43619.14</v>
      </c>
      <c r="U297" s="342">
        <v>33495.300000000003</v>
      </c>
      <c r="V297" s="342">
        <v>976.96</v>
      </c>
      <c r="W297" s="344">
        <f t="shared" si="45"/>
        <v>2.9167077172021147E-2</v>
      </c>
      <c r="X297" s="342">
        <v>306.5</v>
      </c>
      <c r="Y297" s="344">
        <f t="shared" si="46"/>
        <v>9.1505375381023598E-3</v>
      </c>
      <c r="Z297" s="342">
        <v>609.51</v>
      </c>
      <c r="AA297" s="344">
        <f t="shared" si="38"/>
        <v>1.8196881353503325E-2</v>
      </c>
      <c r="AB297" s="342">
        <v>-134.77000000000001</v>
      </c>
      <c r="AC297" s="344">
        <f t="shared" si="39"/>
        <v>-4.0235495726266071E-3</v>
      </c>
      <c r="AD297" s="342">
        <v>10123.84</v>
      </c>
      <c r="AE297" s="342">
        <v>2873.9</v>
      </c>
      <c r="AF297" s="344">
        <f t="shared" si="40"/>
        <v>0.28387449821411637</v>
      </c>
      <c r="AG297" s="342">
        <v>1851.57</v>
      </c>
      <c r="AH297" s="344">
        <f t="shared" si="41"/>
        <v>0.18289206467111294</v>
      </c>
      <c r="AI297" s="342">
        <v>2123.58</v>
      </c>
      <c r="AJ297" s="344">
        <f t="shared" si="42"/>
        <v>0.20976032809684861</v>
      </c>
      <c r="AK297" s="342">
        <v>529.83000000000004</v>
      </c>
      <c r="AL297" s="784">
        <f t="shared" si="43"/>
        <v>5.2334884786800269E-2</v>
      </c>
      <c r="AM297" s="350">
        <v>22.155254746769021</v>
      </c>
      <c r="AN297" s="350">
        <v>18.405866183000978</v>
      </c>
      <c r="AO297" s="350">
        <v>67.955369928400955</v>
      </c>
      <c r="AP297" s="639">
        <f t="shared" si="44"/>
        <v>4.4381145379096168E-2</v>
      </c>
    </row>
    <row r="298" spans="1:42" x14ac:dyDescent="0.2">
      <c r="A298" s="638">
        <v>42522</v>
      </c>
      <c r="B298" s="341" t="s">
        <v>137</v>
      </c>
      <c r="C298" s="351" t="s">
        <v>205</v>
      </c>
      <c r="D298" s="342">
        <v>0</v>
      </c>
      <c r="E298" s="342">
        <v>0</v>
      </c>
      <c r="F298" s="342">
        <v>0</v>
      </c>
      <c r="G298" s="342">
        <v>108.56999969482401</v>
      </c>
      <c r="H298" s="342">
        <v>0</v>
      </c>
      <c r="I298" s="342">
        <v>108.56999969482401</v>
      </c>
      <c r="J298" s="342">
        <v>20</v>
      </c>
      <c r="K298" s="343">
        <v>88.569999694824006</v>
      </c>
      <c r="L298" s="342">
        <v>0</v>
      </c>
      <c r="M298" s="342">
        <v>41.269999504089</v>
      </c>
      <c r="N298" s="354">
        <v>0</v>
      </c>
      <c r="O298" s="343" t="s">
        <v>311</v>
      </c>
      <c r="P298" s="343" t="s">
        <v>311</v>
      </c>
      <c r="Q298" s="343" t="s">
        <v>311</v>
      </c>
      <c r="R298" s="344" t="s">
        <v>312</v>
      </c>
      <c r="S298" s="344">
        <v>-1.7719928280328829</v>
      </c>
      <c r="T298" s="343">
        <v>1583.6</v>
      </c>
      <c r="U298" s="342">
        <v>582</v>
      </c>
      <c r="V298" s="342">
        <v>0</v>
      </c>
      <c r="W298" s="344">
        <f t="shared" si="45"/>
        <v>0</v>
      </c>
      <c r="X298" s="342">
        <v>0</v>
      </c>
      <c r="Y298" s="344">
        <f t="shared" si="46"/>
        <v>0</v>
      </c>
      <c r="Z298" s="342">
        <v>0</v>
      </c>
      <c r="AA298" s="344">
        <f t="shared" si="38"/>
        <v>0</v>
      </c>
      <c r="AB298" s="342">
        <v>582</v>
      </c>
      <c r="AC298" s="344">
        <f t="shared" si="39"/>
        <v>1</v>
      </c>
      <c r="AD298" s="342">
        <v>1001.6</v>
      </c>
      <c r="AE298" s="342">
        <v>0</v>
      </c>
      <c r="AF298" s="344">
        <f t="shared" si="40"/>
        <v>0</v>
      </c>
      <c r="AG298" s="342">
        <v>0</v>
      </c>
      <c r="AH298" s="344">
        <f t="shared" si="41"/>
        <v>0</v>
      </c>
      <c r="AI298" s="342">
        <v>0</v>
      </c>
      <c r="AJ298" s="344">
        <f t="shared" si="42"/>
        <v>0</v>
      </c>
      <c r="AK298" s="342">
        <v>1001.6</v>
      </c>
      <c r="AL298" s="784">
        <f t="shared" si="43"/>
        <v>1</v>
      </c>
      <c r="AM298" s="350" t="s">
        <v>313</v>
      </c>
      <c r="AN298" s="350" t="s">
        <v>313</v>
      </c>
      <c r="AO298" s="350" t="s">
        <v>313</v>
      </c>
      <c r="AP298" s="639">
        <f t="shared" si="44"/>
        <v>-0.48461352654046957</v>
      </c>
    </row>
    <row r="299" spans="1:42" x14ac:dyDescent="0.2">
      <c r="A299" s="638">
        <v>42522</v>
      </c>
      <c r="B299" s="341" t="s">
        <v>137</v>
      </c>
      <c r="C299" s="351" t="s">
        <v>206</v>
      </c>
      <c r="D299" s="342">
        <v>168423.870004803</v>
      </c>
      <c r="E299" s="342">
        <v>5914</v>
      </c>
      <c r="F299" s="342">
        <v>162509.870004803</v>
      </c>
      <c r="G299" s="342">
        <v>125024.68009182801</v>
      </c>
      <c r="H299" s="342">
        <v>75896.930044382796</v>
      </c>
      <c r="I299" s="342">
        <v>49127.750047445297</v>
      </c>
      <c r="J299" s="342">
        <v>6951.1000118255597</v>
      </c>
      <c r="K299" s="343">
        <v>118073.58008000253</v>
      </c>
      <c r="L299" s="342">
        <v>72752.440102100401</v>
      </c>
      <c r="M299" s="342">
        <v>7750.3300132751501</v>
      </c>
      <c r="N299" s="354">
        <v>845</v>
      </c>
      <c r="O299" s="343">
        <v>199.31818935479646</v>
      </c>
      <c r="P299" s="343">
        <v>104.04863892239935</v>
      </c>
      <c r="Q299" s="343">
        <v>147.95820129210426</v>
      </c>
      <c r="R299" s="344">
        <v>0.74232162037520411</v>
      </c>
      <c r="S299" s="344">
        <v>1.5440864552404763</v>
      </c>
      <c r="T299" s="343">
        <v>203016.67</v>
      </c>
      <c r="U299" s="342">
        <v>154552.54</v>
      </c>
      <c r="V299" s="342">
        <v>7218.15</v>
      </c>
      <c r="W299" s="344">
        <f t="shared" si="45"/>
        <v>4.6703535250860316E-2</v>
      </c>
      <c r="X299" s="342">
        <v>4916.49</v>
      </c>
      <c r="Y299" s="344">
        <f t="shared" si="46"/>
        <v>3.1811123906472193E-2</v>
      </c>
      <c r="Z299" s="342">
        <v>5556.69</v>
      </c>
      <c r="AA299" s="344">
        <f t="shared" si="38"/>
        <v>3.5953404583321628E-2</v>
      </c>
      <c r="AB299" s="342">
        <v>23318.49</v>
      </c>
      <c r="AC299" s="344">
        <f t="shared" si="39"/>
        <v>0.1508774297724256</v>
      </c>
      <c r="AD299" s="342">
        <v>48464.13</v>
      </c>
      <c r="AE299" s="342">
        <v>5452.96</v>
      </c>
      <c r="AF299" s="344">
        <f t="shared" si="40"/>
        <v>0.11251537993150812</v>
      </c>
      <c r="AG299" s="342">
        <v>3914.56</v>
      </c>
      <c r="AH299" s="344">
        <f t="shared" si="41"/>
        <v>8.0772315524904714E-2</v>
      </c>
      <c r="AI299" s="342">
        <v>4797.79</v>
      </c>
      <c r="AJ299" s="344">
        <f t="shared" si="42"/>
        <v>9.8996721905458746E-2</v>
      </c>
      <c r="AK299" s="342">
        <v>29840</v>
      </c>
      <c r="AL299" s="784">
        <f t="shared" si="43"/>
        <v>0.61571310575470972</v>
      </c>
      <c r="AM299" s="350">
        <v>31.740591358467032</v>
      </c>
      <c r="AN299" s="350">
        <v>25.388789810233639</v>
      </c>
      <c r="AO299" s="350">
        <v>156.99991721258368</v>
      </c>
      <c r="AP299" s="639">
        <f t="shared" si="44"/>
        <v>7.9060658028249173E-2</v>
      </c>
    </row>
    <row r="300" spans="1:42" x14ac:dyDescent="0.2">
      <c r="A300" s="638">
        <v>42522</v>
      </c>
      <c r="B300" s="341" t="s">
        <v>137</v>
      </c>
      <c r="C300" s="351" t="s">
        <v>207</v>
      </c>
      <c r="D300" s="342">
        <v>0</v>
      </c>
      <c r="E300" s="342">
        <v>0</v>
      </c>
      <c r="F300" s="342">
        <v>0</v>
      </c>
      <c r="G300" s="342">
        <v>0</v>
      </c>
      <c r="H300" s="342">
        <v>0</v>
      </c>
      <c r="I300" s="342">
        <v>0</v>
      </c>
      <c r="J300" s="342">
        <v>0</v>
      </c>
      <c r="K300" s="343">
        <v>0</v>
      </c>
      <c r="L300" s="342">
        <v>0</v>
      </c>
      <c r="M300" s="342">
        <v>0</v>
      </c>
      <c r="N300" s="354">
        <v>0</v>
      </c>
      <c r="O300" s="343" t="s">
        <v>311</v>
      </c>
      <c r="P300" s="343" t="s">
        <v>311</v>
      </c>
      <c r="Q300" s="343" t="s">
        <v>311</v>
      </c>
      <c r="R300" s="344" t="s">
        <v>312</v>
      </c>
      <c r="S300" s="344" t="s">
        <v>312</v>
      </c>
      <c r="T300" s="343">
        <v>0</v>
      </c>
      <c r="U300" s="342">
        <v>0</v>
      </c>
      <c r="V300" s="342">
        <v>0</v>
      </c>
      <c r="W300" s="344" t="str">
        <f t="shared" si="45"/>
        <v>0.00%</v>
      </c>
      <c r="X300" s="342">
        <v>0</v>
      </c>
      <c r="Y300" s="344" t="str">
        <f t="shared" si="46"/>
        <v>0.00%</v>
      </c>
      <c r="Z300" s="342">
        <v>0</v>
      </c>
      <c r="AA300" s="344">
        <f t="shared" si="38"/>
        <v>0</v>
      </c>
      <c r="AB300" s="342">
        <v>0</v>
      </c>
      <c r="AC300" s="344" t="str">
        <f t="shared" si="39"/>
        <v>0.00%</v>
      </c>
      <c r="AD300" s="342">
        <v>0</v>
      </c>
      <c r="AE300" s="342">
        <v>0</v>
      </c>
      <c r="AF300" s="344" t="str">
        <f t="shared" si="40"/>
        <v>0.00%</v>
      </c>
      <c r="AG300" s="342">
        <v>0</v>
      </c>
      <c r="AH300" s="344" t="str">
        <f t="shared" si="41"/>
        <v>0.00%</v>
      </c>
      <c r="AI300" s="342">
        <v>0</v>
      </c>
      <c r="AJ300" s="344">
        <f t="shared" si="42"/>
        <v>0</v>
      </c>
      <c r="AK300" s="342">
        <v>0</v>
      </c>
      <c r="AL300" s="784" t="str">
        <f t="shared" si="43"/>
        <v>0.00%</v>
      </c>
      <c r="AM300" s="350" t="s">
        <v>313</v>
      </c>
      <c r="AN300" s="350" t="s">
        <v>313</v>
      </c>
      <c r="AO300" s="350" t="s">
        <v>313</v>
      </c>
      <c r="AP300" s="639" t="str">
        <f t="shared" si="44"/>
        <v>0.00%</v>
      </c>
    </row>
    <row r="301" spans="1:42" x14ac:dyDescent="0.2">
      <c r="A301" s="638">
        <v>42522</v>
      </c>
      <c r="B301" s="341" t="s">
        <v>137</v>
      </c>
      <c r="C301" s="351" t="s">
        <v>208</v>
      </c>
      <c r="D301" s="342">
        <v>114980.290000686</v>
      </c>
      <c r="E301" s="342">
        <v>6255</v>
      </c>
      <c r="F301" s="342">
        <v>108725.290000686</v>
      </c>
      <c r="G301" s="342">
        <v>91880.200110137506</v>
      </c>
      <c r="H301" s="342">
        <v>60366.620059669003</v>
      </c>
      <c r="I301" s="342">
        <v>31513.580050468401</v>
      </c>
      <c r="J301" s="342">
        <v>4430.8200056552896</v>
      </c>
      <c r="K301" s="343">
        <v>87449.380104482116</v>
      </c>
      <c r="L301" s="342">
        <v>67030.889912128405</v>
      </c>
      <c r="M301" s="342">
        <v>4577.1899965256498</v>
      </c>
      <c r="N301" s="354">
        <v>568</v>
      </c>
      <c r="O301" s="343">
        <v>202.43008802937675</v>
      </c>
      <c r="P301" s="343">
        <v>76.359524809915385</v>
      </c>
      <c r="Q301" s="343">
        <v>161.76091568686164</v>
      </c>
      <c r="R301" s="344">
        <v>0.79909521979453368</v>
      </c>
      <c r="S301" s="344">
        <v>2.3594483891390663</v>
      </c>
      <c r="T301" s="343">
        <v>158094.72999999998</v>
      </c>
      <c r="U301" s="342">
        <v>114431.34</v>
      </c>
      <c r="V301" s="342">
        <v>5081.16</v>
      </c>
      <c r="W301" s="344">
        <f t="shared" si="45"/>
        <v>4.440356986119362E-2</v>
      </c>
      <c r="X301" s="342">
        <v>3862.6</v>
      </c>
      <c r="Y301" s="344">
        <f t="shared" si="46"/>
        <v>3.3754738867866091E-2</v>
      </c>
      <c r="Z301" s="342">
        <v>5390.76</v>
      </c>
      <c r="AA301" s="344">
        <f t="shared" si="38"/>
        <v>4.7109122378537212E-2</v>
      </c>
      <c r="AB301" s="342">
        <v>14071.66</v>
      </c>
      <c r="AC301" s="344">
        <f t="shared" si="39"/>
        <v>0.1229703331272709</v>
      </c>
      <c r="AD301" s="342">
        <v>43663.39</v>
      </c>
      <c r="AE301" s="342">
        <v>5795.21</v>
      </c>
      <c r="AF301" s="344">
        <f t="shared" si="40"/>
        <v>0.13272469224217359</v>
      </c>
      <c r="AG301" s="342">
        <v>3902.69</v>
      </c>
      <c r="AH301" s="344">
        <f t="shared" si="41"/>
        <v>8.9381287160708325E-2</v>
      </c>
      <c r="AI301" s="342">
        <v>3669.87</v>
      </c>
      <c r="AJ301" s="344">
        <f t="shared" si="42"/>
        <v>8.4049131320312054E-2</v>
      </c>
      <c r="AK301" s="342">
        <v>23774.95</v>
      </c>
      <c r="AL301" s="784">
        <f t="shared" si="43"/>
        <v>0.54450536250162895</v>
      </c>
      <c r="AM301" s="350">
        <v>33.747558236233679</v>
      </c>
      <c r="AN301" s="350">
        <v>25.46569063331545</v>
      </c>
      <c r="AO301" s="350">
        <v>228.51108332848753</v>
      </c>
      <c r="AP301" s="639">
        <f t="shared" si="44"/>
        <v>0.10215804074206702</v>
      </c>
    </row>
    <row r="302" spans="1:42" x14ac:dyDescent="0.2">
      <c r="A302" s="638">
        <v>42552</v>
      </c>
      <c r="B302" s="341" t="s">
        <v>133</v>
      </c>
      <c r="C302" s="351" t="s">
        <v>161</v>
      </c>
      <c r="D302" s="342">
        <v>0</v>
      </c>
      <c r="E302" s="342">
        <v>0</v>
      </c>
      <c r="F302" s="342">
        <v>0</v>
      </c>
      <c r="G302" s="342">
        <v>7.8999998569479999</v>
      </c>
      <c r="H302" s="342">
        <v>7.1799998283380004</v>
      </c>
      <c r="I302" s="342">
        <v>0.72000002861000001</v>
      </c>
      <c r="J302" s="342">
        <v>0</v>
      </c>
      <c r="K302" s="343">
        <v>7.8999998569480008</v>
      </c>
      <c r="L302" s="342">
        <v>0</v>
      </c>
      <c r="M302" s="342">
        <v>1087.7199945002801</v>
      </c>
      <c r="N302" s="354">
        <v>0</v>
      </c>
      <c r="O302" s="343" t="s">
        <v>311</v>
      </c>
      <c r="P302" s="343" t="s">
        <v>311</v>
      </c>
      <c r="Q302" s="343" t="s">
        <v>311</v>
      </c>
      <c r="R302" s="344" t="s">
        <v>312</v>
      </c>
      <c r="S302" s="344">
        <v>-7.262898445272596E-3</v>
      </c>
      <c r="T302" s="343">
        <v>-333.49</v>
      </c>
      <c r="U302" s="342">
        <v>-333.49</v>
      </c>
      <c r="V302" s="342">
        <v>0</v>
      </c>
      <c r="W302" s="344">
        <v>0</v>
      </c>
      <c r="X302" s="342">
        <v>0</v>
      </c>
      <c r="Y302" s="344">
        <f t="shared" si="46"/>
        <v>0</v>
      </c>
      <c r="Z302" s="342">
        <v>0</v>
      </c>
      <c r="AA302" s="344">
        <f t="shared" si="38"/>
        <v>0</v>
      </c>
      <c r="AB302" s="342">
        <v>-333.49</v>
      </c>
      <c r="AC302" s="344">
        <v>0</v>
      </c>
      <c r="AD302" s="342">
        <v>0</v>
      </c>
      <c r="AE302" s="342">
        <v>0</v>
      </c>
      <c r="AF302" s="344" t="str">
        <f t="shared" si="40"/>
        <v>0.00%</v>
      </c>
      <c r="AG302" s="342">
        <v>0</v>
      </c>
      <c r="AH302" s="344" t="str">
        <f t="shared" si="41"/>
        <v>0.00%</v>
      </c>
      <c r="AI302" s="342">
        <v>0</v>
      </c>
      <c r="AJ302" s="344">
        <f t="shared" si="42"/>
        <v>0</v>
      </c>
      <c r="AK302" s="342">
        <v>0</v>
      </c>
      <c r="AL302" s="784" t="str">
        <f t="shared" si="43"/>
        <v>0.00%</v>
      </c>
      <c r="AM302" s="350" t="s">
        <v>313</v>
      </c>
      <c r="AN302" s="350" t="s">
        <v>313</v>
      </c>
      <c r="AO302" s="350" t="s">
        <v>313</v>
      </c>
      <c r="AP302" s="639">
        <f t="shared" si="44"/>
        <v>0</v>
      </c>
    </row>
    <row r="303" spans="1:42" x14ac:dyDescent="0.2">
      <c r="A303" s="638">
        <v>42552</v>
      </c>
      <c r="B303" s="341" t="s">
        <v>133</v>
      </c>
      <c r="C303" s="351" t="s">
        <v>162</v>
      </c>
      <c r="D303" s="342">
        <v>159542.08000759</v>
      </c>
      <c r="E303" s="342">
        <v>12152</v>
      </c>
      <c r="F303" s="342">
        <v>147390.08000759</v>
      </c>
      <c r="G303" s="342">
        <v>115447.170126596</v>
      </c>
      <c r="H303" s="342">
        <v>54603.120095312603</v>
      </c>
      <c r="I303" s="342">
        <v>60844.050031283899</v>
      </c>
      <c r="J303" s="342">
        <v>3042.5400010347398</v>
      </c>
      <c r="K303" s="343">
        <v>112404.63012556176</v>
      </c>
      <c r="L303" s="342">
        <v>58749.300060411901</v>
      </c>
      <c r="M303" s="342">
        <v>-237.89001250267</v>
      </c>
      <c r="N303" s="354">
        <v>965</v>
      </c>
      <c r="O303" s="343">
        <v>165.32858031874611</v>
      </c>
      <c r="P303" s="343">
        <v>104.69499477687127</v>
      </c>
      <c r="Q303" s="343">
        <v>119.63437318818289</v>
      </c>
      <c r="R303" s="344">
        <v>0.72361580168131345</v>
      </c>
      <c r="S303" s="344">
        <v>1.178175052175388</v>
      </c>
      <c r="T303" s="343">
        <v>158111.56</v>
      </c>
      <c r="U303" s="342">
        <v>114794.81999999999</v>
      </c>
      <c r="V303" s="342">
        <v>2544.0700000000002</v>
      </c>
      <c r="W303" s="344">
        <f t="shared" si="45"/>
        <v>2.2161888489393513E-2</v>
      </c>
      <c r="X303" s="342">
        <v>3094.04</v>
      </c>
      <c r="Y303" s="344">
        <f t="shared" si="46"/>
        <v>2.6952784106460553E-2</v>
      </c>
      <c r="Z303" s="342">
        <v>2536.4899999999998</v>
      </c>
      <c r="AA303" s="344">
        <f t="shared" si="38"/>
        <v>2.2095857635388075E-2</v>
      </c>
      <c r="AB303" s="342">
        <v>19099.920000000002</v>
      </c>
      <c r="AC303" s="344">
        <f t="shared" si="39"/>
        <v>0.16638311728699956</v>
      </c>
      <c r="AD303" s="342">
        <v>43316.74</v>
      </c>
      <c r="AE303" s="342">
        <v>3362.88</v>
      </c>
      <c r="AF303" s="344">
        <f t="shared" si="40"/>
        <v>7.7634651176427413E-2</v>
      </c>
      <c r="AG303" s="342">
        <v>3840.82</v>
      </c>
      <c r="AH303" s="344">
        <f t="shared" si="41"/>
        <v>8.8668260815564615E-2</v>
      </c>
      <c r="AI303" s="342">
        <v>3798.47</v>
      </c>
      <c r="AJ303" s="344">
        <f t="shared" si="42"/>
        <v>8.7690578746230666E-2</v>
      </c>
      <c r="AK303" s="342">
        <v>23029.98</v>
      </c>
      <c r="AL303" s="784">
        <f t="shared" si="43"/>
        <v>0.53166466359195086</v>
      </c>
      <c r="AM303" s="350">
        <v>27.667222853742818</v>
      </c>
      <c r="AN303" s="350">
        <v>21.347843661243218</v>
      </c>
      <c r="AO303" s="350">
        <v>128.37970823591399</v>
      </c>
      <c r="AP303" s="639">
        <f t="shared" si="44"/>
        <v>3.0115013611697852E-2</v>
      </c>
    </row>
    <row r="304" spans="1:42" x14ac:dyDescent="0.2">
      <c r="A304" s="638">
        <v>42552</v>
      </c>
      <c r="B304" s="341" t="s">
        <v>133</v>
      </c>
      <c r="C304" s="351" t="s">
        <v>163</v>
      </c>
      <c r="D304" s="342">
        <v>0</v>
      </c>
      <c r="E304" s="342">
        <v>0</v>
      </c>
      <c r="F304" s="342">
        <v>0</v>
      </c>
      <c r="G304" s="342">
        <v>0</v>
      </c>
      <c r="H304" s="342">
        <v>0</v>
      </c>
      <c r="I304" s="342">
        <v>0</v>
      </c>
      <c r="J304" s="342">
        <v>0</v>
      </c>
      <c r="K304" s="343">
        <v>0</v>
      </c>
      <c r="L304" s="342">
        <v>0</v>
      </c>
      <c r="M304" s="342">
        <v>998.57001256942704</v>
      </c>
      <c r="N304" s="354">
        <v>0</v>
      </c>
      <c r="O304" s="343" t="s">
        <v>311</v>
      </c>
      <c r="P304" s="343" t="s">
        <v>311</v>
      </c>
      <c r="Q304" s="343" t="s">
        <v>311</v>
      </c>
      <c r="R304" s="344" t="s">
        <v>312</v>
      </c>
      <c r="S304" s="344">
        <v>0</v>
      </c>
      <c r="T304" s="343">
        <v>-70</v>
      </c>
      <c r="U304" s="342">
        <v>0</v>
      </c>
      <c r="V304" s="342">
        <v>0</v>
      </c>
      <c r="W304" s="344" t="str">
        <f t="shared" si="45"/>
        <v>0.00%</v>
      </c>
      <c r="X304" s="342">
        <v>0</v>
      </c>
      <c r="Y304" s="344" t="str">
        <f t="shared" si="46"/>
        <v>0.00%</v>
      </c>
      <c r="Z304" s="342">
        <v>0</v>
      </c>
      <c r="AA304" s="344">
        <f t="shared" si="38"/>
        <v>0</v>
      </c>
      <c r="AB304" s="342">
        <v>0</v>
      </c>
      <c r="AC304" s="344" t="str">
        <f t="shared" si="39"/>
        <v>0.00%</v>
      </c>
      <c r="AD304" s="342">
        <v>-70</v>
      </c>
      <c r="AE304" s="342">
        <v>0</v>
      </c>
      <c r="AF304" s="344">
        <f t="shared" si="40"/>
        <v>0</v>
      </c>
      <c r="AG304" s="342">
        <v>0</v>
      </c>
      <c r="AH304" s="344">
        <f t="shared" si="41"/>
        <v>0</v>
      </c>
      <c r="AI304" s="342">
        <v>0</v>
      </c>
      <c r="AJ304" s="344">
        <f t="shared" si="42"/>
        <v>0</v>
      </c>
      <c r="AK304" s="342">
        <v>-70</v>
      </c>
      <c r="AL304" s="784">
        <f t="shared" si="43"/>
        <v>1</v>
      </c>
      <c r="AM304" s="350" t="s">
        <v>313</v>
      </c>
      <c r="AN304" s="350" t="s">
        <v>313</v>
      </c>
      <c r="AO304" s="350" t="s">
        <v>313</v>
      </c>
      <c r="AP304" s="639">
        <f t="shared" si="44"/>
        <v>0</v>
      </c>
    </row>
    <row r="305" spans="1:42" x14ac:dyDescent="0.2">
      <c r="A305" s="638">
        <v>42552</v>
      </c>
      <c r="B305" s="341" t="s">
        <v>133</v>
      </c>
      <c r="C305" s="351" t="s">
        <v>164</v>
      </c>
      <c r="D305" s="342">
        <v>188716.79000821701</v>
      </c>
      <c r="E305" s="342">
        <v>11383</v>
      </c>
      <c r="F305" s="342">
        <v>177333.79000821701</v>
      </c>
      <c r="G305" s="342">
        <v>130891.840202764</v>
      </c>
      <c r="H305" s="342">
        <v>62462.650163382299</v>
      </c>
      <c r="I305" s="342">
        <v>68429.190039381399</v>
      </c>
      <c r="J305" s="342">
        <v>3888.1999897956798</v>
      </c>
      <c r="K305" s="343">
        <v>127003.64021296802</v>
      </c>
      <c r="L305" s="342">
        <v>62518.050056710803</v>
      </c>
      <c r="M305" s="342">
        <v>494.459998130798</v>
      </c>
      <c r="N305" s="354">
        <v>939</v>
      </c>
      <c r="O305" s="343">
        <v>200.97634718659958</v>
      </c>
      <c r="P305" s="343">
        <v>133.87037268730074</v>
      </c>
      <c r="Q305" s="343">
        <v>139.39493099335857</v>
      </c>
      <c r="R305" s="344">
        <v>0.69358873790225284</v>
      </c>
      <c r="S305" s="344">
        <v>1.0745037949168734</v>
      </c>
      <c r="T305" s="343">
        <v>185350.08000000002</v>
      </c>
      <c r="U305" s="342">
        <v>144117.88</v>
      </c>
      <c r="V305" s="342">
        <v>7705.25</v>
      </c>
      <c r="W305" s="344">
        <f t="shared" si="45"/>
        <v>5.3464913583241715E-2</v>
      </c>
      <c r="X305" s="342">
        <v>3501.2</v>
      </c>
      <c r="Y305" s="344">
        <f t="shared" si="46"/>
        <v>2.4294001549287288E-2</v>
      </c>
      <c r="Z305" s="342">
        <v>2438.02</v>
      </c>
      <c r="AA305" s="344">
        <f t="shared" si="38"/>
        <v>1.6916846126240545E-2</v>
      </c>
      <c r="AB305" s="342">
        <v>23042.3</v>
      </c>
      <c r="AC305" s="344">
        <f t="shared" si="39"/>
        <v>0.1598850885122651</v>
      </c>
      <c r="AD305" s="342">
        <v>41232.199999999997</v>
      </c>
      <c r="AE305" s="342">
        <v>3501.39</v>
      </c>
      <c r="AF305" s="344">
        <f t="shared" si="40"/>
        <v>8.4918825578067625E-2</v>
      </c>
      <c r="AG305" s="342">
        <v>4161.88</v>
      </c>
      <c r="AH305" s="344">
        <f t="shared" si="41"/>
        <v>0.10093761671703184</v>
      </c>
      <c r="AI305" s="342">
        <v>4157.04</v>
      </c>
      <c r="AJ305" s="344">
        <f t="shared" si="42"/>
        <v>0.10082023273072988</v>
      </c>
      <c r="AK305" s="342">
        <v>20555.38</v>
      </c>
      <c r="AL305" s="784">
        <f t="shared" si="43"/>
        <v>0.49852736453548446</v>
      </c>
      <c r="AM305" s="350">
        <v>28.457625995315301</v>
      </c>
      <c r="AN305" s="350">
        <v>23.620994700625804</v>
      </c>
      <c r="AO305" s="350">
        <v>100.09435183686681</v>
      </c>
      <c r="AP305" s="639">
        <f t="shared" si="44"/>
        <v>3.0931325418974122E-2</v>
      </c>
    </row>
    <row r="306" spans="1:42" x14ac:dyDescent="0.2">
      <c r="A306" s="638">
        <v>42552</v>
      </c>
      <c r="B306" s="341" t="s">
        <v>133</v>
      </c>
      <c r="C306" s="351" t="s">
        <v>165</v>
      </c>
      <c r="D306" s="342">
        <v>0</v>
      </c>
      <c r="E306" s="342">
        <v>0</v>
      </c>
      <c r="F306" s="342">
        <v>0</v>
      </c>
      <c r="G306" s="342">
        <v>0</v>
      </c>
      <c r="H306" s="342">
        <v>0</v>
      </c>
      <c r="I306" s="342">
        <v>0</v>
      </c>
      <c r="J306" s="342">
        <v>0</v>
      </c>
      <c r="K306" s="343">
        <v>0</v>
      </c>
      <c r="L306" s="342">
        <v>0</v>
      </c>
      <c r="M306" s="342">
        <v>1123</v>
      </c>
      <c r="N306" s="354">
        <v>0</v>
      </c>
      <c r="O306" s="343" t="s">
        <v>311</v>
      </c>
      <c r="P306" s="343" t="s">
        <v>311</v>
      </c>
      <c r="Q306" s="343" t="s">
        <v>311</v>
      </c>
      <c r="R306" s="344" t="s">
        <v>312</v>
      </c>
      <c r="S306" s="344">
        <v>0</v>
      </c>
      <c r="T306" s="343">
        <v>-38.61</v>
      </c>
      <c r="U306" s="342">
        <v>0</v>
      </c>
      <c r="V306" s="342">
        <v>0</v>
      </c>
      <c r="W306" s="344" t="str">
        <f t="shared" si="45"/>
        <v>0.00%</v>
      </c>
      <c r="X306" s="342">
        <v>0</v>
      </c>
      <c r="Y306" s="344" t="str">
        <f t="shared" si="46"/>
        <v>0.00%</v>
      </c>
      <c r="Z306" s="342">
        <v>0</v>
      </c>
      <c r="AA306" s="344">
        <f t="shared" si="38"/>
        <v>0</v>
      </c>
      <c r="AB306" s="342">
        <v>0</v>
      </c>
      <c r="AC306" s="344" t="str">
        <f t="shared" si="39"/>
        <v>0.00%</v>
      </c>
      <c r="AD306" s="342">
        <v>-38.61</v>
      </c>
      <c r="AE306" s="342">
        <v>0</v>
      </c>
      <c r="AF306" s="344">
        <f t="shared" si="40"/>
        <v>0</v>
      </c>
      <c r="AG306" s="342">
        <v>0</v>
      </c>
      <c r="AH306" s="344">
        <f t="shared" si="41"/>
        <v>0</v>
      </c>
      <c r="AI306" s="342">
        <v>0</v>
      </c>
      <c r="AJ306" s="344">
        <f t="shared" si="42"/>
        <v>0</v>
      </c>
      <c r="AK306" s="342">
        <v>-38.61</v>
      </c>
      <c r="AL306" s="784">
        <f t="shared" si="43"/>
        <v>1</v>
      </c>
      <c r="AM306" s="350" t="s">
        <v>313</v>
      </c>
      <c r="AN306" s="350" t="s">
        <v>313</v>
      </c>
      <c r="AO306" s="350" t="s">
        <v>313</v>
      </c>
      <c r="AP306" s="639">
        <f t="shared" si="44"/>
        <v>0</v>
      </c>
    </row>
    <row r="307" spans="1:42" x14ac:dyDescent="0.2">
      <c r="A307" s="638">
        <v>42552</v>
      </c>
      <c r="B307" s="341" t="s">
        <v>133</v>
      </c>
      <c r="C307" s="351" t="s">
        <v>166</v>
      </c>
      <c r="D307" s="342">
        <v>333939.03001250903</v>
      </c>
      <c r="E307" s="342">
        <v>19509</v>
      </c>
      <c r="F307" s="342">
        <v>314430.03001250903</v>
      </c>
      <c r="G307" s="342">
        <v>234578.790315866</v>
      </c>
      <c r="H307" s="342">
        <v>112363.020254016</v>
      </c>
      <c r="I307" s="342">
        <v>122215.770061851</v>
      </c>
      <c r="J307" s="342">
        <v>7409.7300108671197</v>
      </c>
      <c r="K307" s="343">
        <v>227169.06030499988</v>
      </c>
      <c r="L307" s="342">
        <v>127634.62000603401</v>
      </c>
      <c r="M307" s="342">
        <v>-1214.3000017404599</v>
      </c>
      <c r="N307" s="354">
        <v>1588</v>
      </c>
      <c r="O307" s="343">
        <v>210.28906172072357</v>
      </c>
      <c r="P307" s="343">
        <v>130.67928841827171</v>
      </c>
      <c r="Q307" s="343">
        <v>147.7196412568432</v>
      </c>
      <c r="R307" s="344">
        <v>0.70245993799251294</v>
      </c>
      <c r="S307" s="344">
        <v>1.1722551897419866</v>
      </c>
      <c r="T307" s="343">
        <v>310717.73</v>
      </c>
      <c r="U307" s="342">
        <v>229289.23</v>
      </c>
      <c r="V307" s="342">
        <v>8418.5300000000007</v>
      </c>
      <c r="W307" s="344">
        <f t="shared" si="45"/>
        <v>3.6715767242970813E-2</v>
      </c>
      <c r="X307" s="342">
        <v>7201.32</v>
      </c>
      <c r="Y307" s="344">
        <f t="shared" si="46"/>
        <v>3.1407144592007219E-2</v>
      </c>
      <c r="Z307" s="342">
        <v>8108.03</v>
      </c>
      <c r="AA307" s="344">
        <f t="shared" si="38"/>
        <v>3.5361582399661771E-2</v>
      </c>
      <c r="AB307" s="342">
        <v>22598.93</v>
      </c>
      <c r="AC307" s="344">
        <f t="shared" si="39"/>
        <v>9.8560800260875742E-2</v>
      </c>
      <c r="AD307" s="342">
        <v>81428.5</v>
      </c>
      <c r="AE307" s="342">
        <v>3868.28</v>
      </c>
      <c r="AF307" s="344">
        <f t="shared" si="40"/>
        <v>4.7505234653714611E-2</v>
      </c>
      <c r="AG307" s="342">
        <v>8941.06</v>
      </c>
      <c r="AH307" s="344">
        <f t="shared" si="41"/>
        <v>0.10980258754612943</v>
      </c>
      <c r="AI307" s="342">
        <v>8908.0400000000009</v>
      </c>
      <c r="AJ307" s="344">
        <f t="shared" si="42"/>
        <v>0.10939707841848985</v>
      </c>
      <c r="AK307" s="342">
        <v>49451.54</v>
      </c>
      <c r="AL307" s="784">
        <f t="shared" si="43"/>
        <v>0.60730014675451471</v>
      </c>
      <c r="AM307" s="350">
        <v>25.655202848772966</v>
      </c>
      <c r="AN307" s="350">
        <v>19.992888660451928</v>
      </c>
      <c r="AO307" s="350">
        <v>126.68655326259324</v>
      </c>
      <c r="AP307" s="639">
        <f t="shared" si="44"/>
        <v>3.5706322627842929E-2</v>
      </c>
    </row>
    <row r="308" spans="1:42" x14ac:dyDescent="0.2">
      <c r="A308" s="638">
        <v>42552</v>
      </c>
      <c r="B308" s="341" t="s">
        <v>133</v>
      </c>
      <c r="C308" s="351" t="s">
        <v>167</v>
      </c>
      <c r="D308" s="342">
        <v>0</v>
      </c>
      <c r="E308" s="342">
        <v>0</v>
      </c>
      <c r="F308" s="342">
        <v>0</v>
      </c>
      <c r="G308" s="342">
        <v>557.52999925613403</v>
      </c>
      <c r="H308" s="342">
        <v>402.25999927520797</v>
      </c>
      <c r="I308" s="342">
        <v>155.269999980927</v>
      </c>
      <c r="J308" s="342">
        <v>170</v>
      </c>
      <c r="K308" s="343">
        <v>387.52999925613494</v>
      </c>
      <c r="L308" s="342">
        <v>-5.2699999809260003</v>
      </c>
      <c r="M308" s="342">
        <v>-39.899999618530003</v>
      </c>
      <c r="N308" s="354">
        <v>0</v>
      </c>
      <c r="O308" s="343" t="s">
        <v>311</v>
      </c>
      <c r="P308" s="343" t="s">
        <v>311</v>
      </c>
      <c r="Q308" s="343" t="s">
        <v>311</v>
      </c>
      <c r="R308" s="344" t="s">
        <v>312</v>
      </c>
      <c r="S308" s="344">
        <v>0</v>
      </c>
      <c r="T308" s="343">
        <v>6012.62</v>
      </c>
      <c r="U308" s="342">
        <v>1027.0899999999999</v>
      </c>
      <c r="V308" s="342">
        <v>0</v>
      </c>
      <c r="W308" s="344">
        <f t="shared" si="45"/>
        <v>0</v>
      </c>
      <c r="X308" s="342">
        <v>0</v>
      </c>
      <c r="Y308" s="344">
        <f t="shared" si="46"/>
        <v>0</v>
      </c>
      <c r="Z308" s="342">
        <v>0</v>
      </c>
      <c r="AA308" s="344">
        <f t="shared" si="38"/>
        <v>0</v>
      </c>
      <c r="AB308" s="342">
        <v>1027.0899999999999</v>
      </c>
      <c r="AC308" s="344">
        <f t="shared" si="39"/>
        <v>1</v>
      </c>
      <c r="AD308" s="342">
        <v>4985.53</v>
      </c>
      <c r="AE308" s="342">
        <v>0</v>
      </c>
      <c r="AF308" s="344">
        <f t="shared" si="40"/>
        <v>0</v>
      </c>
      <c r="AG308" s="342">
        <v>0</v>
      </c>
      <c r="AH308" s="344">
        <f t="shared" si="41"/>
        <v>0</v>
      </c>
      <c r="AI308" s="342">
        <v>0</v>
      </c>
      <c r="AJ308" s="344">
        <f t="shared" si="42"/>
        <v>0</v>
      </c>
      <c r="AK308" s="342">
        <v>4985.53</v>
      </c>
      <c r="AL308" s="784">
        <f t="shared" si="43"/>
        <v>1</v>
      </c>
      <c r="AM308" s="350" t="s">
        <v>313</v>
      </c>
      <c r="AN308" s="350" t="s">
        <v>313</v>
      </c>
      <c r="AO308" s="350" t="s">
        <v>313</v>
      </c>
      <c r="AP308" s="639">
        <f t="shared" si="44"/>
        <v>3.7635599182526307</v>
      </c>
    </row>
    <row r="309" spans="1:42" x14ac:dyDescent="0.2">
      <c r="A309" s="638">
        <v>42552</v>
      </c>
      <c r="B309" s="341" t="s">
        <v>133</v>
      </c>
      <c r="C309" s="351" t="s">
        <v>168</v>
      </c>
      <c r="D309" s="342">
        <v>0</v>
      </c>
      <c r="E309" s="342">
        <v>0</v>
      </c>
      <c r="F309" s="342">
        <v>0</v>
      </c>
      <c r="G309" s="342">
        <v>0</v>
      </c>
      <c r="H309" s="342">
        <v>0</v>
      </c>
      <c r="I309" s="342">
        <v>0</v>
      </c>
      <c r="J309" s="342">
        <v>0</v>
      </c>
      <c r="K309" s="343">
        <v>0</v>
      </c>
      <c r="L309" s="342">
        <v>0</v>
      </c>
      <c r="M309" s="342">
        <v>-15</v>
      </c>
      <c r="N309" s="354">
        <v>0</v>
      </c>
      <c r="O309" s="343" t="s">
        <v>311</v>
      </c>
      <c r="P309" s="343" t="s">
        <v>311</v>
      </c>
      <c r="Q309" s="343" t="s">
        <v>311</v>
      </c>
      <c r="R309" s="344" t="s">
        <v>312</v>
      </c>
      <c r="S309" s="344">
        <v>0</v>
      </c>
      <c r="T309" s="343">
        <v>0</v>
      </c>
      <c r="U309" s="342">
        <v>0</v>
      </c>
      <c r="V309" s="342">
        <v>0</v>
      </c>
      <c r="W309" s="344" t="str">
        <f t="shared" si="45"/>
        <v>0.00%</v>
      </c>
      <c r="X309" s="342">
        <v>0</v>
      </c>
      <c r="Y309" s="344" t="str">
        <f t="shared" si="46"/>
        <v>0.00%</v>
      </c>
      <c r="Z309" s="342">
        <v>0</v>
      </c>
      <c r="AA309" s="344">
        <f t="shared" si="38"/>
        <v>0</v>
      </c>
      <c r="AB309" s="342">
        <v>0</v>
      </c>
      <c r="AC309" s="344" t="str">
        <f t="shared" si="39"/>
        <v>0.00%</v>
      </c>
      <c r="AD309" s="342">
        <v>0</v>
      </c>
      <c r="AE309" s="342">
        <v>0</v>
      </c>
      <c r="AF309" s="344" t="str">
        <f t="shared" si="40"/>
        <v>0.00%</v>
      </c>
      <c r="AG309" s="342">
        <v>0</v>
      </c>
      <c r="AH309" s="344" t="str">
        <f t="shared" si="41"/>
        <v>0.00%</v>
      </c>
      <c r="AI309" s="342">
        <v>0</v>
      </c>
      <c r="AJ309" s="344">
        <f t="shared" si="42"/>
        <v>0</v>
      </c>
      <c r="AK309" s="342">
        <v>0</v>
      </c>
      <c r="AL309" s="784" t="str">
        <f t="shared" si="43"/>
        <v>0.00%</v>
      </c>
      <c r="AM309" s="350" t="s">
        <v>313</v>
      </c>
      <c r="AN309" s="350" t="s">
        <v>313</v>
      </c>
      <c r="AO309" s="350" t="s">
        <v>313</v>
      </c>
      <c r="AP309" s="639">
        <f t="shared" si="44"/>
        <v>0</v>
      </c>
    </row>
    <row r="310" spans="1:42" x14ac:dyDescent="0.2">
      <c r="A310" s="638">
        <v>42552</v>
      </c>
      <c r="B310" s="341" t="s">
        <v>133</v>
      </c>
      <c r="C310" s="351" t="s">
        <v>169</v>
      </c>
      <c r="D310" s="342">
        <v>203730.13000768199</v>
      </c>
      <c r="E310" s="342">
        <v>10966.110000610401</v>
      </c>
      <c r="F310" s="342">
        <v>192764.02000707199</v>
      </c>
      <c r="G310" s="342">
        <v>149656.64006531201</v>
      </c>
      <c r="H310" s="342">
        <v>58010.1101191044</v>
      </c>
      <c r="I310" s="342">
        <v>91646.529946208</v>
      </c>
      <c r="J310" s="342">
        <v>4754.3699901104001</v>
      </c>
      <c r="K310" s="343">
        <v>144902.27007520199</v>
      </c>
      <c r="L310" s="342">
        <v>86584.040190275802</v>
      </c>
      <c r="M310" s="342">
        <v>-523.98999901115894</v>
      </c>
      <c r="N310" s="354">
        <v>1216</v>
      </c>
      <c r="O310" s="343">
        <v>167.54122533526512</v>
      </c>
      <c r="P310" s="343">
        <v>96.768157743764604</v>
      </c>
      <c r="Q310" s="343">
        <v>123.07289479055295</v>
      </c>
      <c r="R310" s="344">
        <v>0.73458275444907939</v>
      </c>
      <c r="S310" s="344">
        <v>1.3253836892627411</v>
      </c>
      <c r="T310" s="343">
        <v>225927.82</v>
      </c>
      <c r="U310" s="342">
        <v>165778.14000000001</v>
      </c>
      <c r="V310" s="342">
        <v>5411.86</v>
      </c>
      <c r="W310" s="344">
        <f t="shared" si="45"/>
        <v>3.2645196767197404E-2</v>
      </c>
      <c r="X310" s="342">
        <v>4955.49</v>
      </c>
      <c r="Y310" s="344">
        <f t="shared" si="46"/>
        <v>2.989230063746643E-2</v>
      </c>
      <c r="Z310" s="342">
        <v>3822.47</v>
      </c>
      <c r="AA310" s="344">
        <f t="shared" si="38"/>
        <v>2.3057744525303514E-2</v>
      </c>
      <c r="AB310" s="342">
        <v>16892.13</v>
      </c>
      <c r="AC310" s="344">
        <f t="shared" si="39"/>
        <v>0.10189600390015234</v>
      </c>
      <c r="AD310" s="342">
        <v>60149.68</v>
      </c>
      <c r="AE310" s="342">
        <v>3377.9</v>
      </c>
      <c r="AF310" s="344">
        <f t="shared" si="40"/>
        <v>5.6158237250804995E-2</v>
      </c>
      <c r="AG310" s="342">
        <v>5975.26</v>
      </c>
      <c r="AH310" s="344">
        <f t="shared" si="41"/>
        <v>9.9339846862028194E-2</v>
      </c>
      <c r="AI310" s="342">
        <v>5967.79</v>
      </c>
      <c r="AJ310" s="344">
        <f t="shared" si="42"/>
        <v>9.9215656675147729E-2</v>
      </c>
      <c r="AK310" s="342">
        <v>34597.120000000003</v>
      </c>
      <c r="AL310" s="784">
        <f t="shared" si="43"/>
        <v>0.57518377487627537</v>
      </c>
      <c r="AM310" s="350">
        <v>29.234081161128955</v>
      </c>
      <c r="AN310" s="350">
        <v>22.555021167121737</v>
      </c>
      <c r="AO310" s="350">
        <v>159.00410354965499</v>
      </c>
      <c r="AP310" s="639">
        <f t="shared" si="44"/>
        <v>4.0404238677562876E-2</v>
      </c>
    </row>
    <row r="311" spans="1:42" x14ac:dyDescent="0.2">
      <c r="A311" s="638">
        <v>42552</v>
      </c>
      <c r="B311" s="341" t="s">
        <v>133</v>
      </c>
      <c r="C311" s="351" t="s">
        <v>170</v>
      </c>
      <c r="D311" s="342">
        <v>0</v>
      </c>
      <c r="E311" s="342">
        <v>0</v>
      </c>
      <c r="F311" s="342">
        <v>0</v>
      </c>
      <c r="G311" s="342">
        <v>0</v>
      </c>
      <c r="H311" s="342">
        <v>0</v>
      </c>
      <c r="I311" s="342">
        <v>0</v>
      </c>
      <c r="J311" s="342">
        <v>0</v>
      </c>
      <c r="K311" s="343">
        <v>0</v>
      </c>
      <c r="L311" s="342">
        <v>0</v>
      </c>
      <c r="M311" s="342">
        <v>0</v>
      </c>
      <c r="N311" s="354">
        <v>0</v>
      </c>
      <c r="O311" s="343" t="s">
        <v>311</v>
      </c>
      <c r="P311" s="343" t="s">
        <v>311</v>
      </c>
      <c r="Q311" s="343" t="s">
        <v>311</v>
      </c>
      <c r="R311" s="344" t="s">
        <v>312</v>
      </c>
      <c r="S311" s="344" t="s">
        <v>312</v>
      </c>
      <c r="T311" s="343">
        <v>0</v>
      </c>
      <c r="U311" s="342">
        <v>0</v>
      </c>
      <c r="V311" s="342">
        <v>0</v>
      </c>
      <c r="W311" s="344" t="str">
        <f t="shared" si="45"/>
        <v>0.00%</v>
      </c>
      <c r="X311" s="342">
        <v>0</v>
      </c>
      <c r="Y311" s="344" t="str">
        <f t="shared" si="46"/>
        <v>0.00%</v>
      </c>
      <c r="Z311" s="342">
        <v>0</v>
      </c>
      <c r="AA311" s="344">
        <f t="shared" si="38"/>
        <v>0</v>
      </c>
      <c r="AB311" s="342">
        <v>0</v>
      </c>
      <c r="AC311" s="344" t="str">
        <f t="shared" si="39"/>
        <v>0.00%</v>
      </c>
      <c r="AD311" s="342">
        <v>0</v>
      </c>
      <c r="AE311" s="342">
        <v>0</v>
      </c>
      <c r="AF311" s="344" t="str">
        <f t="shared" si="40"/>
        <v>0.00%</v>
      </c>
      <c r="AG311" s="342">
        <v>0</v>
      </c>
      <c r="AH311" s="344" t="str">
        <f t="shared" si="41"/>
        <v>0.00%</v>
      </c>
      <c r="AI311" s="342">
        <v>0</v>
      </c>
      <c r="AJ311" s="344">
        <f t="shared" si="42"/>
        <v>0</v>
      </c>
      <c r="AK311" s="342">
        <v>0</v>
      </c>
      <c r="AL311" s="784" t="str">
        <f t="shared" si="43"/>
        <v>0.00%</v>
      </c>
      <c r="AM311" s="350" t="s">
        <v>313</v>
      </c>
      <c r="AN311" s="350" t="s">
        <v>313</v>
      </c>
      <c r="AO311" s="350" t="s">
        <v>313</v>
      </c>
      <c r="AP311" s="639" t="str">
        <f t="shared" si="44"/>
        <v>0.00%</v>
      </c>
    </row>
    <row r="312" spans="1:42" x14ac:dyDescent="0.2">
      <c r="A312" s="638">
        <v>42552</v>
      </c>
      <c r="B312" s="341" t="s">
        <v>133</v>
      </c>
      <c r="C312" s="351" t="s">
        <v>171</v>
      </c>
      <c r="D312" s="342">
        <v>222439.50000654001</v>
      </c>
      <c r="E312" s="342">
        <v>13541</v>
      </c>
      <c r="F312" s="342">
        <v>208898.50000654001</v>
      </c>
      <c r="G312" s="342">
        <v>149492.09004836</v>
      </c>
      <c r="H312" s="342">
        <v>64879.390148282102</v>
      </c>
      <c r="I312" s="342">
        <v>84612.6999000777</v>
      </c>
      <c r="J312" s="342">
        <v>4867.4199924469003</v>
      </c>
      <c r="K312" s="343">
        <v>144624.67005591289</v>
      </c>
      <c r="L312" s="342">
        <v>84699.600153638006</v>
      </c>
      <c r="M312" s="342">
        <v>-924.56000185012795</v>
      </c>
      <c r="N312" s="354">
        <v>1351</v>
      </c>
      <c r="O312" s="343">
        <v>164.64803849484827</v>
      </c>
      <c r="P312" s="343">
        <v>102.63838627294753</v>
      </c>
      <c r="Q312" s="343">
        <v>110.6529163940487</v>
      </c>
      <c r="R312" s="344">
        <v>0.67205730117161988</v>
      </c>
      <c r="S312" s="344">
        <v>1.1173049134884214</v>
      </c>
      <c r="T312" s="343">
        <v>250080.76</v>
      </c>
      <c r="U312" s="342">
        <v>174394.15</v>
      </c>
      <c r="V312" s="342">
        <v>4906.04</v>
      </c>
      <c r="W312" s="344">
        <f t="shared" si="45"/>
        <v>2.8131906947566763E-2</v>
      </c>
      <c r="X312" s="342">
        <v>7635.05</v>
      </c>
      <c r="Y312" s="344">
        <f t="shared" si="46"/>
        <v>4.3780424974117542E-2</v>
      </c>
      <c r="Z312" s="342">
        <v>2411.96</v>
      </c>
      <c r="AA312" s="344">
        <f t="shared" si="38"/>
        <v>1.3830509796343513E-2</v>
      </c>
      <c r="AB312" s="342">
        <v>25500.83</v>
      </c>
      <c r="AC312" s="344">
        <f t="shared" si="39"/>
        <v>0.14622526042301306</v>
      </c>
      <c r="AD312" s="342">
        <v>75686.61</v>
      </c>
      <c r="AE312" s="342">
        <v>5405.41</v>
      </c>
      <c r="AF312" s="344">
        <f t="shared" si="40"/>
        <v>7.1418312961830363E-2</v>
      </c>
      <c r="AG312" s="342">
        <v>7001.58</v>
      </c>
      <c r="AH312" s="344">
        <f t="shared" si="41"/>
        <v>9.2507512227063673E-2</v>
      </c>
      <c r="AI312" s="342">
        <v>5956.92</v>
      </c>
      <c r="AJ312" s="344">
        <f t="shared" si="42"/>
        <v>7.8705070817678316E-2</v>
      </c>
      <c r="AK312" s="342">
        <v>39572.74</v>
      </c>
      <c r="AL312" s="784">
        <f t="shared" si="43"/>
        <v>0.52284994664181683</v>
      </c>
      <c r="AM312" s="350">
        <v>29.583985147080941</v>
      </c>
      <c r="AN312" s="350">
        <v>21.878996114744766</v>
      </c>
      <c r="AO312" s="350">
        <v>156.89595771144278</v>
      </c>
      <c r="AP312" s="639">
        <f t="shared" si="44"/>
        <v>3.5102145117396427E-2</v>
      </c>
    </row>
    <row r="313" spans="1:42" x14ac:dyDescent="0.2">
      <c r="A313" s="638">
        <v>42552</v>
      </c>
      <c r="B313" s="341" t="s">
        <v>133</v>
      </c>
      <c r="C313" s="351" t="s">
        <v>172</v>
      </c>
      <c r="D313" s="342">
        <v>0</v>
      </c>
      <c r="E313" s="342">
        <v>0</v>
      </c>
      <c r="F313" s="342">
        <v>0</v>
      </c>
      <c r="G313" s="342">
        <v>0</v>
      </c>
      <c r="H313" s="342">
        <v>0</v>
      </c>
      <c r="I313" s="342">
        <v>0</v>
      </c>
      <c r="J313" s="342">
        <v>0</v>
      </c>
      <c r="K313" s="343">
        <v>0</v>
      </c>
      <c r="L313" s="342">
        <v>0</v>
      </c>
      <c r="M313" s="342">
        <v>157</v>
      </c>
      <c r="N313" s="354">
        <v>0</v>
      </c>
      <c r="O313" s="343" t="s">
        <v>311</v>
      </c>
      <c r="P313" s="343" t="s">
        <v>311</v>
      </c>
      <c r="Q313" s="343" t="s">
        <v>311</v>
      </c>
      <c r="R313" s="344" t="s">
        <v>312</v>
      </c>
      <c r="S313" s="344">
        <v>0</v>
      </c>
      <c r="T313" s="343">
        <v>0</v>
      </c>
      <c r="U313" s="342">
        <v>0</v>
      </c>
      <c r="V313" s="342">
        <v>0</v>
      </c>
      <c r="W313" s="344" t="str">
        <f t="shared" si="45"/>
        <v>0.00%</v>
      </c>
      <c r="X313" s="342">
        <v>0</v>
      </c>
      <c r="Y313" s="344" t="str">
        <f t="shared" si="46"/>
        <v>0.00%</v>
      </c>
      <c r="Z313" s="342">
        <v>0</v>
      </c>
      <c r="AA313" s="344">
        <f t="shared" si="38"/>
        <v>0</v>
      </c>
      <c r="AB313" s="342">
        <v>0</v>
      </c>
      <c r="AC313" s="344" t="str">
        <f t="shared" si="39"/>
        <v>0.00%</v>
      </c>
      <c r="AD313" s="342">
        <v>0</v>
      </c>
      <c r="AE313" s="342">
        <v>0</v>
      </c>
      <c r="AF313" s="344" t="str">
        <f t="shared" si="40"/>
        <v>0.00%</v>
      </c>
      <c r="AG313" s="342">
        <v>0</v>
      </c>
      <c r="AH313" s="344" t="str">
        <f t="shared" si="41"/>
        <v>0.00%</v>
      </c>
      <c r="AI313" s="342">
        <v>0</v>
      </c>
      <c r="AJ313" s="344">
        <f t="shared" si="42"/>
        <v>0</v>
      </c>
      <c r="AK313" s="342">
        <v>0</v>
      </c>
      <c r="AL313" s="784" t="str">
        <f t="shared" si="43"/>
        <v>0.00%</v>
      </c>
      <c r="AM313" s="350" t="s">
        <v>313</v>
      </c>
      <c r="AN313" s="350" t="s">
        <v>313</v>
      </c>
      <c r="AO313" s="350" t="s">
        <v>313</v>
      </c>
      <c r="AP313" s="639">
        <f t="shared" si="44"/>
        <v>0</v>
      </c>
    </row>
    <row r="314" spans="1:42" x14ac:dyDescent="0.2">
      <c r="A314" s="638">
        <v>42552</v>
      </c>
      <c r="B314" s="341" t="s">
        <v>133</v>
      </c>
      <c r="C314" s="351" t="s">
        <v>173</v>
      </c>
      <c r="D314" s="342">
        <v>239371.82000936201</v>
      </c>
      <c r="E314" s="342">
        <v>19639</v>
      </c>
      <c r="F314" s="342">
        <v>219732.82000936201</v>
      </c>
      <c r="G314" s="342">
        <v>171719.230047522</v>
      </c>
      <c r="H314" s="342">
        <v>75973.130152702302</v>
      </c>
      <c r="I314" s="342">
        <v>95746.099894819796</v>
      </c>
      <c r="J314" s="342">
        <v>4195.3299992084503</v>
      </c>
      <c r="K314" s="343">
        <v>167523.90004831366</v>
      </c>
      <c r="L314" s="342">
        <v>83380.620156616002</v>
      </c>
      <c r="M314" s="342">
        <v>-477.92999792098999</v>
      </c>
      <c r="N314" s="354">
        <v>1355</v>
      </c>
      <c r="O314" s="343">
        <v>176.65816974860664</v>
      </c>
      <c r="P314" s="343">
        <v>115.47537258351808</v>
      </c>
      <c r="Q314" s="343">
        <v>126.73005907566207</v>
      </c>
      <c r="R314" s="344">
        <v>0.71737445970376146</v>
      </c>
      <c r="S314" s="344">
        <v>1.1277004331344747</v>
      </c>
      <c r="T314" s="343">
        <v>279560.76</v>
      </c>
      <c r="U314" s="342">
        <v>193835.63</v>
      </c>
      <c r="V314" s="342">
        <v>11335.13</v>
      </c>
      <c r="W314" s="344">
        <f t="shared" si="45"/>
        <v>5.8478051738991427E-2</v>
      </c>
      <c r="X314" s="342">
        <v>7423.52</v>
      </c>
      <c r="Y314" s="344">
        <f t="shared" si="46"/>
        <v>3.8298015695050494E-2</v>
      </c>
      <c r="Z314" s="342">
        <v>5238.37</v>
      </c>
      <c r="AA314" s="344">
        <f t="shared" si="38"/>
        <v>2.7024804469642654E-2</v>
      </c>
      <c r="AB314" s="342">
        <v>28341.48</v>
      </c>
      <c r="AC314" s="344">
        <f t="shared" si="39"/>
        <v>0.14621398552990489</v>
      </c>
      <c r="AD314" s="342">
        <v>85725.13</v>
      </c>
      <c r="AE314" s="342">
        <v>6578.67</v>
      </c>
      <c r="AF314" s="344">
        <f t="shared" si="40"/>
        <v>7.6741440928698501E-2</v>
      </c>
      <c r="AG314" s="342">
        <v>10295.17</v>
      </c>
      <c r="AH314" s="344">
        <f t="shared" si="41"/>
        <v>0.12009512263206833</v>
      </c>
      <c r="AI314" s="342">
        <v>8478.8700000000008</v>
      </c>
      <c r="AJ314" s="344">
        <f t="shared" si="42"/>
        <v>9.8907636535517651E-2</v>
      </c>
      <c r="AK314" s="342">
        <v>47315.65</v>
      </c>
      <c r="AL314" s="784">
        <f t="shared" si="43"/>
        <v>0.55194608628764985</v>
      </c>
      <c r="AM314" s="350">
        <v>32.705751286393209</v>
      </c>
      <c r="AN314" s="350">
        <v>24.49147924122137</v>
      </c>
      <c r="AO314" s="350">
        <v>135.35309380537186</v>
      </c>
      <c r="AP314" s="639">
        <f t="shared" si="44"/>
        <v>2.6812509299517694E-2</v>
      </c>
    </row>
    <row r="315" spans="1:42" x14ac:dyDescent="0.2">
      <c r="A315" s="638">
        <v>42552</v>
      </c>
      <c r="B315" s="341" t="s">
        <v>133</v>
      </c>
      <c r="C315" s="351" t="s">
        <v>174</v>
      </c>
      <c r="D315" s="342">
        <v>154683.54000390699</v>
      </c>
      <c r="E315" s="342">
        <v>9539</v>
      </c>
      <c r="F315" s="342">
        <v>145144.54000390699</v>
      </c>
      <c r="G315" s="342">
        <v>110797.14020388</v>
      </c>
      <c r="H315" s="342">
        <v>45786.550117896899</v>
      </c>
      <c r="I315" s="342">
        <v>65010.590085983298</v>
      </c>
      <c r="J315" s="342">
        <v>2346.3599991798401</v>
      </c>
      <c r="K315" s="343">
        <v>108450.78020470036</v>
      </c>
      <c r="L315" s="342">
        <v>59628.050192832903</v>
      </c>
      <c r="M315" s="342">
        <v>49.390000343322001</v>
      </c>
      <c r="N315" s="354">
        <v>806</v>
      </c>
      <c r="O315" s="343">
        <v>191.91506203958684</v>
      </c>
      <c r="P315" s="343">
        <v>117.8735729661672</v>
      </c>
      <c r="Q315" s="343">
        <v>137.46543449612929</v>
      </c>
      <c r="R315" s="344">
        <v>0.7162826775304062</v>
      </c>
      <c r="S315" s="344">
        <v>1.1957419741218427</v>
      </c>
      <c r="T315" s="343">
        <v>170525.21</v>
      </c>
      <c r="U315" s="342">
        <v>114169.62</v>
      </c>
      <c r="V315" s="342">
        <v>6371.11</v>
      </c>
      <c r="W315" s="344">
        <f t="shared" si="45"/>
        <v>5.5803899496205733E-2</v>
      </c>
      <c r="X315" s="342">
        <v>4450.8599999999997</v>
      </c>
      <c r="Y315" s="344">
        <f t="shared" si="46"/>
        <v>3.8984626558273554E-2</v>
      </c>
      <c r="Z315" s="342">
        <v>4712.0200000000004</v>
      </c>
      <c r="AA315" s="344">
        <f t="shared" si="38"/>
        <v>4.1272100231217385E-2</v>
      </c>
      <c r="AB315" s="342">
        <v>12294.74</v>
      </c>
      <c r="AC315" s="344">
        <f t="shared" si="39"/>
        <v>0.10768836753595221</v>
      </c>
      <c r="AD315" s="342">
        <v>56355.59</v>
      </c>
      <c r="AE315" s="342">
        <v>5426.66</v>
      </c>
      <c r="AF315" s="344">
        <f t="shared" si="40"/>
        <v>9.6293198243510542E-2</v>
      </c>
      <c r="AG315" s="342">
        <v>5656.43</v>
      </c>
      <c r="AH315" s="344">
        <f t="shared" si="41"/>
        <v>0.10037034480519147</v>
      </c>
      <c r="AI315" s="342">
        <v>6128.15</v>
      </c>
      <c r="AJ315" s="344">
        <f t="shared" si="42"/>
        <v>0.10874076555670875</v>
      </c>
      <c r="AK315" s="342">
        <v>30664.75</v>
      </c>
      <c r="AL315" s="784">
        <f t="shared" si="43"/>
        <v>0.54412969503114073</v>
      </c>
      <c r="AM315" s="350">
        <v>31.531530935827519</v>
      </c>
      <c r="AN315" s="350">
        <v>22.419527432287044</v>
      </c>
      <c r="AO315" s="350">
        <v>178.52879619852163</v>
      </c>
      <c r="AP315" s="639">
        <f t="shared" si="44"/>
        <v>2.4696940552808831E-2</v>
      </c>
    </row>
    <row r="316" spans="1:42" x14ac:dyDescent="0.2">
      <c r="A316" s="638">
        <v>42552</v>
      </c>
      <c r="B316" s="341" t="s">
        <v>133</v>
      </c>
      <c r="C316" s="351" t="s">
        <v>175</v>
      </c>
      <c r="D316" s="342">
        <v>0</v>
      </c>
      <c r="E316" s="342">
        <v>0</v>
      </c>
      <c r="F316" s="342">
        <v>0</v>
      </c>
      <c r="G316" s="342">
        <v>621.069996356964</v>
      </c>
      <c r="H316" s="342">
        <v>491.07999563217197</v>
      </c>
      <c r="I316" s="342">
        <v>129.990000724792</v>
      </c>
      <c r="J316" s="342">
        <v>25</v>
      </c>
      <c r="K316" s="343">
        <v>596.069996356964</v>
      </c>
      <c r="L316" s="342">
        <v>0</v>
      </c>
      <c r="M316" s="342">
        <v>-2.389995574951</v>
      </c>
      <c r="N316" s="354">
        <v>0</v>
      </c>
      <c r="O316" s="343" t="s">
        <v>311</v>
      </c>
      <c r="P316" s="343" t="s">
        <v>311</v>
      </c>
      <c r="Q316" s="343" t="s">
        <v>311</v>
      </c>
      <c r="R316" s="344" t="s">
        <v>312</v>
      </c>
      <c r="S316" s="344">
        <v>0</v>
      </c>
      <c r="T316" s="343">
        <v>7619.4599999999991</v>
      </c>
      <c r="U316" s="342">
        <v>1024.23</v>
      </c>
      <c r="V316" s="342">
        <v>0</v>
      </c>
      <c r="W316" s="344">
        <f t="shared" si="45"/>
        <v>0</v>
      </c>
      <c r="X316" s="342">
        <v>0</v>
      </c>
      <c r="Y316" s="344">
        <f t="shared" si="46"/>
        <v>0</v>
      </c>
      <c r="Z316" s="342">
        <v>0</v>
      </c>
      <c r="AA316" s="344">
        <f t="shared" si="38"/>
        <v>0</v>
      </c>
      <c r="AB316" s="342">
        <v>1024.23</v>
      </c>
      <c r="AC316" s="344">
        <f t="shared" si="39"/>
        <v>1</v>
      </c>
      <c r="AD316" s="342">
        <v>6595.23</v>
      </c>
      <c r="AE316" s="342">
        <v>0</v>
      </c>
      <c r="AF316" s="344">
        <f t="shared" si="40"/>
        <v>0</v>
      </c>
      <c r="AG316" s="342">
        <v>0</v>
      </c>
      <c r="AH316" s="344">
        <f t="shared" si="41"/>
        <v>0</v>
      </c>
      <c r="AI316" s="342">
        <v>0</v>
      </c>
      <c r="AJ316" s="344">
        <f t="shared" si="42"/>
        <v>0</v>
      </c>
      <c r="AK316" s="342">
        <v>6595.23</v>
      </c>
      <c r="AL316" s="784">
        <f t="shared" si="43"/>
        <v>1</v>
      </c>
      <c r="AM316" s="350" t="s">
        <v>313</v>
      </c>
      <c r="AN316" s="350" t="s">
        <v>313</v>
      </c>
      <c r="AO316" s="350" t="s">
        <v>313</v>
      </c>
      <c r="AP316" s="639">
        <f t="shared" si="44"/>
        <v>10.460270413058213</v>
      </c>
    </row>
    <row r="317" spans="1:42" x14ac:dyDescent="0.2">
      <c r="A317" s="638">
        <v>42552</v>
      </c>
      <c r="B317" s="341" t="s">
        <v>133</v>
      </c>
      <c r="C317" s="351" t="s">
        <v>176</v>
      </c>
      <c r="D317" s="342">
        <v>0</v>
      </c>
      <c r="E317" s="342">
        <v>0</v>
      </c>
      <c r="F317" s="342">
        <v>0</v>
      </c>
      <c r="G317" s="342">
        <v>0</v>
      </c>
      <c r="H317" s="342">
        <v>0</v>
      </c>
      <c r="I317" s="342">
        <v>0</v>
      </c>
      <c r="J317" s="342">
        <v>0</v>
      </c>
      <c r="K317" s="343">
        <v>0</v>
      </c>
      <c r="L317" s="342">
        <v>0</v>
      </c>
      <c r="M317" s="342">
        <v>0</v>
      </c>
      <c r="N317" s="354">
        <v>0</v>
      </c>
      <c r="O317" s="343" t="s">
        <v>311</v>
      </c>
      <c r="P317" s="343" t="s">
        <v>311</v>
      </c>
      <c r="Q317" s="343" t="s">
        <v>311</v>
      </c>
      <c r="R317" s="344" t="s">
        <v>312</v>
      </c>
      <c r="S317" s="344" t="s">
        <v>312</v>
      </c>
      <c r="T317" s="343">
        <v>0</v>
      </c>
      <c r="U317" s="342">
        <v>0</v>
      </c>
      <c r="V317" s="342">
        <v>0</v>
      </c>
      <c r="W317" s="344" t="str">
        <f t="shared" si="45"/>
        <v>0.00%</v>
      </c>
      <c r="X317" s="342">
        <v>0</v>
      </c>
      <c r="Y317" s="344" t="str">
        <f t="shared" si="46"/>
        <v>0.00%</v>
      </c>
      <c r="Z317" s="342">
        <v>0</v>
      </c>
      <c r="AA317" s="344">
        <f t="shared" si="38"/>
        <v>0</v>
      </c>
      <c r="AB317" s="342">
        <v>0</v>
      </c>
      <c r="AC317" s="344" t="str">
        <f t="shared" si="39"/>
        <v>0.00%</v>
      </c>
      <c r="AD317" s="342">
        <v>0</v>
      </c>
      <c r="AE317" s="342">
        <v>0</v>
      </c>
      <c r="AF317" s="344" t="str">
        <f t="shared" si="40"/>
        <v>0.00%</v>
      </c>
      <c r="AG317" s="342">
        <v>0</v>
      </c>
      <c r="AH317" s="344" t="str">
        <f t="shared" si="41"/>
        <v>0.00%</v>
      </c>
      <c r="AI317" s="342">
        <v>0</v>
      </c>
      <c r="AJ317" s="344">
        <f t="shared" si="42"/>
        <v>0</v>
      </c>
      <c r="AK317" s="342">
        <v>0</v>
      </c>
      <c r="AL317" s="784" t="str">
        <f t="shared" si="43"/>
        <v>0.00%</v>
      </c>
      <c r="AM317" s="350" t="s">
        <v>313</v>
      </c>
      <c r="AN317" s="350" t="s">
        <v>313</v>
      </c>
      <c r="AO317" s="350" t="s">
        <v>313</v>
      </c>
      <c r="AP317" s="639" t="str">
        <f t="shared" si="44"/>
        <v>0.00%</v>
      </c>
    </row>
    <row r="318" spans="1:42" x14ac:dyDescent="0.2">
      <c r="A318" s="638">
        <v>42552</v>
      </c>
      <c r="B318" s="341" t="s">
        <v>133</v>
      </c>
      <c r="C318" s="351" t="s">
        <v>177</v>
      </c>
      <c r="D318" s="342">
        <v>123745.870004196</v>
      </c>
      <c r="E318" s="342">
        <v>7874</v>
      </c>
      <c r="F318" s="342">
        <v>115871.870004196</v>
      </c>
      <c r="G318" s="342">
        <v>83815.370069444194</v>
      </c>
      <c r="H318" s="342">
        <v>41121.250103712096</v>
      </c>
      <c r="I318" s="342">
        <v>42694.119965732098</v>
      </c>
      <c r="J318" s="342">
        <v>2924.9599976539598</v>
      </c>
      <c r="K318" s="343">
        <v>80890.410071790233</v>
      </c>
      <c r="L318" s="342">
        <v>42743.099977016398</v>
      </c>
      <c r="M318" s="342">
        <v>-1485.7500033378601</v>
      </c>
      <c r="N318" s="354">
        <v>619</v>
      </c>
      <c r="O318" s="343">
        <v>199.91255251081745</v>
      </c>
      <c r="P318" s="343">
        <v>133.26093704445469</v>
      </c>
      <c r="Q318" s="343">
        <v>135.40447507179999</v>
      </c>
      <c r="R318" s="344">
        <v>0.67731852438066953</v>
      </c>
      <c r="S318" s="344">
        <v>1.0534391627878956</v>
      </c>
      <c r="T318" s="343">
        <v>110353.42</v>
      </c>
      <c r="U318" s="342">
        <v>86464.69</v>
      </c>
      <c r="V318" s="342">
        <v>4696</v>
      </c>
      <c r="W318" s="344">
        <f t="shared" si="45"/>
        <v>5.4311187607334277E-2</v>
      </c>
      <c r="X318" s="342">
        <v>2241.8000000000002</v>
      </c>
      <c r="Y318" s="344">
        <f t="shared" si="46"/>
        <v>2.5927346758543864E-2</v>
      </c>
      <c r="Z318" s="342">
        <v>1748.82</v>
      </c>
      <c r="AA318" s="344">
        <f t="shared" si="38"/>
        <v>2.0225828601247515E-2</v>
      </c>
      <c r="AB318" s="342">
        <v>14788.72</v>
      </c>
      <c r="AC318" s="344">
        <f t="shared" si="39"/>
        <v>0.17103768023686894</v>
      </c>
      <c r="AD318" s="342">
        <v>23888.73</v>
      </c>
      <c r="AE318" s="342">
        <v>2169.02</v>
      </c>
      <c r="AF318" s="344">
        <f t="shared" si="40"/>
        <v>9.079678995074246E-2</v>
      </c>
      <c r="AG318" s="342">
        <v>3322.34</v>
      </c>
      <c r="AH318" s="344">
        <f t="shared" si="41"/>
        <v>0.13907562268902535</v>
      </c>
      <c r="AI318" s="342">
        <v>2811.49</v>
      </c>
      <c r="AJ318" s="344">
        <f t="shared" si="42"/>
        <v>0.11769106185217883</v>
      </c>
      <c r="AK318" s="342">
        <v>11731.97</v>
      </c>
      <c r="AL318" s="784">
        <f t="shared" si="43"/>
        <v>0.49110898737605557</v>
      </c>
      <c r="AM318" s="350">
        <f>IFERROR(T318/(D318+D268+D218)*90,"0.00")</f>
        <v>25.614712247746212</v>
      </c>
      <c r="AN318" s="350">
        <f>IFERROR(U318/(F318+F268+F218)*90,"0.00")</f>
        <v>21.290812803225123</v>
      </c>
      <c r="AO318" s="350">
        <f>IFERROR(AD318/(E318+E268+E218)*90,"0.00")</f>
        <v>96.685060934478571</v>
      </c>
      <c r="AP318" s="639">
        <f t="shared" si="44"/>
        <v>3.5458994737350626E-2</v>
      </c>
    </row>
    <row r="319" spans="1:42" x14ac:dyDescent="0.2">
      <c r="A319" s="638">
        <v>42552</v>
      </c>
      <c r="B319" s="341" t="s">
        <v>134</v>
      </c>
      <c r="C319" s="351" t="s">
        <v>178</v>
      </c>
      <c r="D319" s="342">
        <v>620897.44044673501</v>
      </c>
      <c r="E319" s="342">
        <v>24451</v>
      </c>
      <c r="F319" s="342">
        <v>596446.44044673501</v>
      </c>
      <c r="G319" s="342">
        <v>404426.88912628591</v>
      </c>
      <c r="H319" s="342">
        <v>151955.53993850952</v>
      </c>
      <c r="I319" s="342">
        <v>252471.3491877768</v>
      </c>
      <c r="J319" s="342">
        <v>5824.0600042343094</v>
      </c>
      <c r="K319" s="343">
        <v>398602.829122052</v>
      </c>
      <c r="L319" s="342">
        <v>175460.56035050191</v>
      </c>
      <c r="M319" s="342">
        <v>5666.8100156784049</v>
      </c>
      <c r="N319" s="354">
        <v>2921</v>
      </c>
      <c r="O319" s="343">
        <v>212.56331408652346</v>
      </c>
      <c r="P319" s="343">
        <v>150.55462857944357</v>
      </c>
      <c r="Q319" s="343">
        <v>138.45494321338114</v>
      </c>
      <c r="R319" s="344">
        <v>0.65135860253394129</v>
      </c>
      <c r="S319" s="344">
        <v>0.93197512993645826</v>
      </c>
      <c r="T319" s="343">
        <v>617723.16999999993</v>
      </c>
      <c r="U319" s="342">
        <v>549112.12</v>
      </c>
      <c r="V319" s="342">
        <v>15057.26</v>
      </c>
      <c r="W319" s="344">
        <f t="shared" si="45"/>
        <v>2.7421102998054388E-2</v>
      </c>
      <c r="X319" s="342">
        <v>11401.02</v>
      </c>
      <c r="Y319" s="344">
        <f t="shared" si="46"/>
        <v>2.0762644976767223E-2</v>
      </c>
      <c r="Z319" s="342">
        <v>12435.27</v>
      </c>
      <c r="AA319" s="344">
        <f t="shared" si="38"/>
        <v>2.2646140099766874E-2</v>
      </c>
      <c r="AB319" s="342">
        <v>26215.55</v>
      </c>
      <c r="AC319" s="344">
        <f t="shared" si="39"/>
        <v>4.7741707103460033E-2</v>
      </c>
      <c r="AD319" s="342">
        <v>68611.049999999988</v>
      </c>
      <c r="AE319" s="342">
        <v>3315.5299999999997</v>
      </c>
      <c r="AF319" s="344">
        <f t="shared" si="40"/>
        <v>4.8323557211265536E-2</v>
      </c>
      <c r="AG319" s="342">
        <v>7252.2</v>
      </c>
      <c r="AH319" s="344">
        <f t="shared" si="41"/>
        <v>0.1057001751175649</v>
      </c>
      <c r="AI319" s="342">
        <v>4386.43</v>
      </c>
      <c r="AJ319" s="344">
        <f t="shared" si="42"/>
        <v>6.3931830222682798E-2</v>
      </c>
      <c r="AK319" s="342">
        <v>30551.83</v>
      </c>
      <c r="AL319" s="784">
        <f t="shared" si="43"/>
        <v>0.44529022657429096</v>
      </c>
      <c r="AM319" s="350">
        <f>IFERROR(T319/(D319+D269+D219)*90,"0.00")</f>
        <v>30.093869252192018</v>
      </c>
      <c r="AN319" s="350">
        <f>IFERROR(U319/(F319+F269+F219)*90,"0.00")</f>
        <v>27.749845697895108</v>
      </c>
      <c r="AO319" s="350">
        <f>IFERROR(AD319/(E319+E269+E219)*90,"0.00")</f>
        <v>92.891981948100764</v>
      </c>
      <c r="AP319" s="639">
        <f t="shared" si="44"/>
        <v>1.3243420597421488E-2</v>
      </c>
    </row>
    <row r="320" spans="1:42" x14ac:dyDescent="0.2">
      <c r="A320" s="638">
        <v>42552</v>
      </c>
      <c r="B320" s="341" t="s">
        <v>135</v>
      </c>
      <c r="C320" s="351" t="s">
        <v>180</v>
      </c>
      <c r="D320" s="342">
        <v>0</v>
      </c>
      <c r="E320" s="342">
        <v>0</v>
      </c>
      <c r="F320" s="342">
        <v>0</v>
      </c>
      <c r="G320" s="342">
        <v>0</v>
      </c>
      <c r="H320" s="342">
        <v>0</v>
      </c>
      <c r="I320" s="342">
        <v>0</v>
      </c>
      <c r="J320" s="342">
        <v>0</v>
      </c>
      <c r="K320" s="343">
        <v>0</v>
      </c>
      <c r="L320" s="342">
        <v>0</v>
      </c>
      <c r="M320" s="342">
        <v>7.550000190734</v>
      </c>
      <c r="N320" s="354">
        <v>0</v>
      </c>
      <c r="O320" s="343" t="s">
        <v>311</v>
      </c>
      <c r="P320" s="343" t="s">
        <v>311</v>
      </c>
      <c r="Q320" s="343" t="s">
        <v>311</v>
      </c>
      <c r="R320" s="344" t="s">
        <v>312</v>
      </c>
      <c r="S320" s="344">
        <v>0</v>
      </c>
      <c r="T320" s="343">
        <v>-30</v>
      </c>
      <c r="U320" s="342">
        <v>0</v>
      </c>
      <c r="V320" s="342">
        <v>0</v>
      </c>
      <c r="W320" s="344" t="str">
        <f t="shared" si="45"/>
        <v>0.00%</v>
      </c>
      <c r="X320" s="342">
        <v>0</v>
      </c>
      <c r="Y320" s="344" t="str">
        <f t="shared" si="46"/>
        <v>0.00%</v>
      </c>
      <c r="Z320" s="342">
        <v>0</v>
      </c>
      <c r="AA320" s="344">
        <f t="shared" si="38"/>
        <v>0</v>
      </c>
      <c r="AB320" s="342">
        <v>0</v>
      </c>
      <c r="AC320" s="344" t="str">
        <f t="shared" si="39"/>
        <v>0.00%</v>
      </c>
      <c r="AD320" s="342">
        <v>-30</v>
      </c>
      <c r="AE320" s="342">
        <v>0</v>
      </c>
      <c r="AF320" s="344">
        <f t="shared" si="40"/>
        <v>0</v>
      </c>
      <c r="AG320" s="342">
        <v>0</v>
      </c>
      <c r="AH320" s="344">
        <f t="shared" si="41"/>
        <v>0</v>
      </c>
      <c r="AI320" s="342">
        <v>0</v>
      </c>
      <c r="AJ320" s="344">
        <f t="shared" si="42"/>
        <v>0</v>
      </c>
      <c r="AK320" s="342">
        <v>-30</v>
      </c>
      <c r="AL320" s="784">
        <f t="shared" si="43"/>
        <v>1</v>
      </c>
      <c r="AM320" s="350" t="s">
        <v>313</v>
      </c>
      <c r="AN320" s="350" t="s">
        <v>313</v>
      </c>
      <c r="AO320" s="350" t="s">
        <v>313</v>
      </c>
      <c r="AP320" s="639">
        <f t="shared" si="44"/>
        <v>0</v>
      </c>
    </row>
    <row r="321" spans="1:42" x14ac:dyDescent="0.2">
      <c r="A321" s="638">
        <v>42552</v>
      </c>
      <c r="B321" s="341" t="s">
        <v>135</v>
      </c>
      <c r="C321" s="351" t="s">
        <v>181</v>
      </c>
      <c r="D321" s="342">
        <v>98721.5</v>
      </c>
      <c r="E321" s="342">
        <v>7768</v>
      </c>
      <c r="F321" s="342">
        <v>90953.5</v>
      </c>
      <c r="G321" s="342">
        <v>65686.730361837894</v>
      </c>
      <c r="H321" s="342">
        <v>29215.6601018906</v>
      </c>
      <c r="I321" s="342">
        <v>36471.070259947301</v>
      </c>
      <c r="J321" s="342">
        <v>1963.4300060272201</v>
      </c>
      <c r="K321" s="343">
        <v>63723.300355810672</v>
      </c>
      <c r="L321" s="342">
        <v>37832.1297383122</v>
      </c>
      <c r="M321" s="342">
        <v>-118.089998245239</v>
      </c>
      <c r="N321" s="354">
        <v>769</v>
      </c>
      <c r="O321" s="343">
        <v>128.37646293888167</v>
      </c>
      <c r="P321" s="343">
        <v>79.333498387429174</v>
      </c>
      <c r="Q321" s="343">
        <v>85.418374982884131</v>
      </c>
      <c r="R321" s="344">
        <v>0.66537411163564064</v>
      </c>
      <c r="S321" s="344">
        <v>1.1125041783117888</v>
      </c>
      <c r="T321" s="343">
        <v>90071.31</v>
      </c>
      <c r="U321" s="342">
        <v>64003.26</v>
      </c>
      <c r="V321" s="342">
        <v>1539.16</v>
      </c>
      <c r="W321" s="344">
        <f t="shared" si="45"/>
        <v>2.4048150047356963E-2</v>
      </c>
      <c r="X321" s="342">
        <v>2603.0700000000002</v>
      </c>
      <c r="Y321" s="344">
        <f t="shared" si="46"/>
        <v>4.0670897076180185E-2</v>
      </c>
      <c r="Z321" s="342">
        <v>218.8</v>
      </c>
      <c r="AA321" s="344">
        <f t="shared" si="38"/>
        <v>3.4185758662918109E-3</v>
      </c>
      <c r="AB321" s="342">
        <v>6581.5</v>
      </c>
      <c r="AC321" s="344">
        <f t="shared" si="39"/>
        <v>0.10283069956124109</v>
      </c>
      <c r="AD321" s="342">
        <v>26068.05</v>
      </c>
      <c r="AE321" s="342">
        <v>334.03</v>
      </c>
      <c r="AF321" s="344">
        <f t="shared" si="40"/>
        <v>1.2813770113222892E-2</v>
      </c>
      <c r="AG321" s="342">
        <v>1579.65</v>
      </c>
      <c r="AH321" s="344">
        <f t="shared" si="41"/>
        <v>6.0597167797361143E-2</v>
      </c>
      <c r="AI321" s="342">
        <v>2188.59</v>
      </c>
      <c r="AJ321" s="344">
        <f t="shared" si="42"/>
        <v>8.3956797689125201E-2</v>
      </c>
      <c r="AK321" s="342">
        <v>15758.58</v>
      </c>
      <c r="AL321" s="784">
        <f t="shared" si="43"/>
        <v>0.60451702371293592</v>
      </c>
      <c r="AM321" s="350">
        <v>25.641544561408335</v>
      </c>
      <c r="AN321" s="350">
        <v>19.477565927855423</v>
      </c>
      <c r="AO321" s="350">
        <v>114.98355714565771</v>
      </c>
      <c r="AP321" s="639">
        <f t="shared" si="44"/>
        <v>3.2183441134275716E-2</v>
      </c>
    </row>
    <row r="322" spans="1:42" x14ac:dyDescent="0.2">
      <c r="A322" s="638">
        <v>42552</v>
      </c>
      <c r="B322" s="341" t="s">
        <v>135</v>
      </c>
      <c r="C322" s="351" t="s">
        <v>182</v>
      </c>
      <c r="D322" s="342">
        <v>0</v>
      </c>
      <c r="E322" s="342">
        <v>0</v>
      </c>
      <c r="F322" s="342">
        <v>0</v>
      </c>
      <c r="G322" s="342">
        <v>0</v>
      </c>
      <c r="H322" s="342">
        <v>0</v>
      </c>
      <c r="I322" s="342">
        <v>0</v>
      </c>
      <c r="J322" s="342">
        <v>0</v>
      </c>
      <c r="K322" s="343">
        <v>0</v>
      </c>
      <c r="L322" s="342">
        <v>0</v>
      </c>
      <c r="M322" s="342">
        <v>1229.8400182723999</v>
      </c>
      <c r="N322" s="354">
        <v>0</v>
      </c>
      <c r="O322" s="343" t="s">
        <v>311</v>
      </c>
      <c r="P322" s="343" t="s">
        <v>311</v>
      </c>
      <c r="Q322" s="343" t="s">
        <v>311</v>
      </c>
      <c r="R322" s="344" t="s">
        <v>312</v>
      </c>
      <c r="S322" s="344">
        <v>0</v>
      </c>
      <c r="T322" s="343">
        <v>-123.58</v>
      </c>
      <c r="U322" s="342">
        <v>-123.58</v>
      </c>
      <c r="V322" s="342">
        <v>0</v>
      </c>
      <c r="W322" s="344">
        <v>0</v>
      </c>
      <c r="X322" s="342">
        <v>0</v>
      </c>
      <c r="Y322" s="344">
        <f t="shared" si="46"/>
        <v>0</v>
      </c>
      <c r="Z322" s="342">
        <v>0</v>
      </c>
      <c r="AA322" s="344">
        <f t="shared" ref="AA322:AA385" si="47">IFERROR(Z322/U322,"0.00"%)</f>
        <v>0</v>
      </c>
      <c r="AB322" s="342">
        <v>-123.58</v>
      </c>
      <c r="AC322" s="344">
        <v>0</v>
      </c>
      <c r="AD322" s="342">
        <v>0</v>
      </c>
      <c r="AE322" s="342">
        <v>0</v>
      </c>
      <c r="AF322" s="344" t="str">
        <f t="shared" ref="AF322:AF385" si="48">IFERROR(AE322/AD322,"0.00%")</f>
        <v>0.00%</v>
      </c>
      <c r="AG322" s="342">
        <v>0</v>
      </c>
      <c r="AH322" s="344" t="str">
        <f t="shared" ref="AH322:AH385" si="49">IFERROR(AG322/AD322,"0.00%")</f>
        <v>0.00%</v>
      </c>
      <c r="AI322" s="342">
        <v>0</v>
      </c>
      <c r="AJ322" s="344">
        <f t="shared" ref="AJ322:AJ385" si="50">IFERROR(AI322/AD322,"0.00"%)</f>
        <v>0</v>
      </c>
      <c r="AK322" s="342">
        <v>0</v>
      </c>
      <c r="AL322" s="784" t="str">
        <f t="shared" ref="AL322:AL385" si="51">IFERROR(AK322/AD322,"0.00%")</f>
        <v>0.00%</v>
      </c>
      <c r="AM322" s="350" t="s">
        <v>313</v>
      </c>
      <c r="AN322" s="350" t="s">
        <v>313</v>
      </c>
      <c r="AO322" s="350" t="s">
        <v>313</v>
      </c>
      <c r="AP322" s="639">
        <f t="shared" ref="AP322:AP385" si="52">IFERROR(J322/(D322-L322-M322),"0.00%")</f>
        <v>0</v>
      </c>
    </row>
    <row r="323" spans="1:42" x14ac:dyDescent="0.2">
      <c r="A323" s="638">
        <v>42552</v>
      </c>
      <c r="B323" s="341" t="s">
        <v>135</v>
      </c>
      <c r="C323" s="351" t="s">
        <v>183</v>
      </c>
      <c r="D323" s="342">
        <v>179227.55000091501</v>
      </c>
      <c r="E323" s="342">
        <v>10138</v>
      </c>
      <c r="F323" s="342">
        <v>169089.55000091501</v>
      </c>
      <c r="G323" s="342">
        <v>122567.16077782599</v>
      </c>
      <c r="H323" s="342">
        <v>60401.400292635</v>
      </c>
      <c r="I323" s="342">
        <v>62165.760485190898</v>
      </c>
      <c r="J323" s="342">
        <v>6733.67001080513</v>
      </c>
      <c r="K323" s="343">
        <v>115833.49076702076</v>
      </c>
      <c r="L323" s="342">
        <v>69208.119494896397</v>
      </c>
      <c r="M323" s="342">
        <v>-590.85000129044101</v>
      </c>
      <c r="N323" s="354">
        <v>889</v>
      </c>
      <c r="O323" s="343">
        <v>201.60579302690104</v>
      </c>
      <c r="P323" s="343">
        <v>124.42101294410467</v>
      </c>
      <c r="Q323" s="343">
        <v>137.87082202230135</v>
      </c>
      <c r="R323" s="344">
        <v>0.68386339475822855</v>
      </c>
      <c r="S323" s="344">
        <v>1.1799303056962087</v>
      </c>
      <c r="T323" s="343">
        <v>129785.23000000001</v>
      </c>
      <c r="U323" s="342">
        <v>100170.08</v>
      </c>
      <c r="V323" s="342">
        <v>1948.58</v>
      </c>
      <c r="W323" s="344">
        <f t="shared" ref="W323:W386" si="53">IFERROR(V323/U323,"0.00%")</f>
        <v>1.9452714822629669E-2</v>
      </c>
      <c r="X323" s="342">
        <v>5032.8100000000004</v>
      </c>
      <c r="Y323" s="344">
        <f t="shared" ref="Y323:Y386" si="54">IFERROR(X323/U323,"0.00%")</f>
        <v>5.0242647305462872E-2</v>
      </c>
      <c r="Z323" s="342">
        <v>1319.5</v>
      </c>
      <c r="AA323" s="344">
        <f t="shared" si="47"/>
        <v>1.3172596048640472E-2</v>
      </c>
      <c r="AB323" s="342">
        <v>9805.7000000000007</v>
      </c>
      <c r="AC323" s="344">
        <f t="shared" ref="AC323:AC386" si="55">IFERROR(AB323/U323,"0.00%")</f>
        <v>9.7890507824292455E-2</v>
      </c>
      <c r="AD323" s="342">
        <v>29615.15</v>
      </c>
      <c r="AE323" s="342">
        <v>846</v>
      </c>
      <c r="AF323" s="344">
        <f t="shared" si="48"/>
        <v>2.8566460071956411E-2</v>
      </c>
      <c r="AG323" s="342">
        <v>2627.24</v>
      </c>
      <c r="AH323" s="344">
        <f t="shared" si="49"/>
        <v>8.8712702788944164E-2</v>
      </c>
      <c r="AI323" s="342">
        <v>4570.84</v>
      </c>
      <c r="AJ323" s="344">
        <f t="shared" si="50"/>
        <v>0.15434127465165634</v>
      </c>
      <c r="AK323" s="342">
        <v>17931.400000000001</v>
      </c>
      <c r="AL323" s="784">
        <f t="shared" si="51"/>
        <v>0.60548064082066111</v>
      </c>
      <c r="AM323" s="350">
        <v>19.754047313399422</v>
      </c>
      <c r="AN323" s="350">
        <v>16.215100703015704</v>
      </c>
      <c r="AO323" s="350">
        <v>75.456883616906836</v>
      </c>
      <c r="AP323" s="639">
        <f t="shared" si="52"/>
        <v>6.087743363384901E-2</v>
      </c>
    </row>
    <row r="324" spans="1:42" x14ac:dyDescent="0.2">
      <c r="A324" s="638">
        <v>42552</v>
      </c>
      <c r="B324" s="341" t="s">
        <v>135</v>
      </c>
      <c r="C324" s="351" t="s">
        <v>184</v>
      </c>
      <c r="D324" s="342">
        <v>0</v>
      </c>
      <c r="E324" s="342">
        <v>0</v>
      </c>
      <c r="F324" s="342">
        <v>0</v>
      </c>
      <c r="G324" s="342">
        <v>0</v>
      </c>
      <c r="H324" s="342">
        <v>0</v>
      </c>
      <c r="I324" s="342">
        <v>0</v>
      </c>
      <c r="J324" s="342">
        <v>205</v>
      </c>
      <c r="K324" s="343">
        <v>-205</v>
      </c>
      <c r="L324" s="342">
        <v>0</v>
      </c>
      <c r="M324" s="342">
        <v>3022.7300186157199</v>
      </c>
      <c r="N324" s="354">
        <v>0</v>
      </c>
      <c r="O324" s="343" t="s">
        <v>311</v>
      </c>
      <c r="P324" s="343" t="s">
        <v>311</v>
      </c>
      <c r="Q324" s="343" t="s">
        <v>311</v>
      </c>
      <c r="R324" s="344" t="s">
        <v>312</v>
      </c>
      <c r="S324" s="344">
        <v>0</v>
      </c>
      <c r="T324" s="343">
        <v>-115.55</v>
      </c>
      <c r="U324" s="342">
        <v>-115.55</v>
      </c>
      <c r="V324" s="342">
        <v>0</v>
      </c>
      <c r="W324" s="344">
        <v>0</v>
      </c>
      <c r="X324" s="342">
        <v>0</v>
      </c>
      <c r="Y324" s="344">
        <f t="shared" si="54"/>
        <v>0</v>
      </c>
      <c r="Z324" s="342">
        <v>0</v>
      </c>
      <c r="AA324" s="344">
        <f t="shared" si="47"/>
        <v>0</v>
      </c>
      <c r="AB324" s="342">
        <v>-115.55</v>
      </c>
      <c r="AC324" s="344">
        <v>0</v>
      </c>
      <c r="AD324" s="342">
        <v>0</v>
      </c>
      <c r="AE324" s="342">
        <v>0</v>
      </c>
      <c r="AF324" s="344" t="str">
        <f t="shared" si="48"/>
        <v>0.00%</v>
      </c>
      <c r="AG324" s="342">
        <v>0</v>
      </c>
      <c r="AH324" s="344" t="str">
        <f t="shared" si="49"/>
        <v>0.00%</v>
      </c>
      <c r="AI324" s="342">
        <v>0</v>
      </c>
      <c r="AJ324" s="344">
        <f t="shared" si="50"/>
        <v>0</v>
      </c>
      <c r="AK324" s="342">
        <v>0</v>
      </c>
      <c r="AL324" s="784" t="str">
        <f t="shared" si="51"/>
        <v>0.00%</v>
      </c>
      <c r="AM324" s="350" t="s">
        <v>313</v>
      </c>
      <c r="AN324" s="350" t="s">
        <v>313</v>
      </c>
      <c r="AO324" s="350" t="s">
        <v>313</v>
      </c>
      <c r="AP324" s="639">
        <f t="shared" si="52"/>
        <v>-6.7819487263993616E-2</v>
      </c>
    </row>
    <row r="325" spans="1:42" x14ac:dyDescent="0.2">
      <c r="A325" s="638">
        <v>42552</v>
      </c>
      <c r="B325" s="341" t="s">
        <v>135</v>
      </c>
      <c r="C325" s="351" t="s">
        <v>185</v>
      </c>
      <c r="D325" s="342">
        <v>129215.429998169</v>
      </c>
      <c r="E325" s="342">
        <v>7029</v>
      </c>
      <c r="F325" s="342">
        <v>122186.429998169</v>
      </c>
      <c r="G325" s="342">
        <v>78306.730436086698</v>
      </c>
      <c r="H325" s="342">
        <v>37453.6602284908</v>
      </c>
      <c r="I325" s="342">
        <v>40853.070207595803</v>
      </c>
      <c r="J325" s="342">
        <v>2559.9200024604802</v>
      </c>
      <c r="K325" s="343">
        <v>75746.810433626117</v>
      </c>
      <c r="L325" s="342">
        <v>45109.549690246597</v>
      </c>
      <c r="M325" s="342">
        <v>-298.61000084877003</v>
      </c>
      <c r="N325" s="354">
        <v>683</v>
      </c>
      <c r="O325" s="343">
        <v>189.18803806466912</v>
      </c>
      <c r="P325" s="343">
        <v>123.57904876833261</v>
      </c>
      <c r="Q325" s="343">
        <v>114.65114265898477</v>
      </c>
      <c r="R325" s="344">
        <v>0.60601686994499193</v>
      </c>
      <c r="S325" s="344">
        <v>0.95677367653121748</v>
      </c>
      <c r="T325" s="343">
        <v>104961.78</v>
      </c>
      <c r="U325" s="342">
        <v>77688.11</v>
      </c>
      <c r="V325" s="342">
        <v>1380.71</v>
      </c>
      <c r="W325" s="344">
        <f t="shared" si="53"/>
        <v>1.7772475093035471E-2</v>
      </c>
      <c r="X325" s="342">
        <v>2762</v>
      </c>
      <c r="Y325" s="344">
        <f t="shared" si="54"/>
        <v>3.5552415935977848E-2</v>
      </c>
      <c r="Z325" s="342">
        <v>851.45</v>
      </c>
      <c r="AA325" s="344">
        <f t="shared" si="47"/>
        <v>1.0959849583160153E-2</v>
      </c>
      <c r="AB325" s="342">
        <v>9629.92</v>
      </c>
      <c r="AC325" s="344">
        <f t="shared" si="55"/>
        <v>0.12395616266118457</v>
      </c>
      <c r="AD325" s="342">
        <v>27273.67</v>
      </c>
      <c r="AE325" s="342">
        <v>1103.2</v>
      </c>
      <c r="AF325" s="344">
        <f t="shared" si="48"/>
        <v>4.0449268470286549E-2</v>
      </c>
      <c r="AG325" s="342">
        <v>3070.28</v>
      </c>
      <c r="AH325" s="344">
        <f t="shared" si="49"/>
        <v>0.11257304205851286</v>
      </c>
      <c r="AI325" s="342">
        <v>4950.7299999999996</v>
      </c>
      <c r="AJ325" s="344">
        <f t="shared" si="50"/>
        <v>0.18152049210832277</v>
      </c>
      <c r="AK325" s="342">
        <v>12013.24</v>
      </c>
      <c r="AL325" s="784">
        <f t="shared" si="51"/>
        <v>0.44047024107866672</v>
      </c>
      <c r="AM325" s="350">
        <v>24.051037011638133</v>
      </c>
      <c r="AN325" s="350">
        <v>18.686434450738837</v>
      </c>
      <c r="AO325" s="350">
        <v>131.96937096774192</v>
      </c>
      <c r="AP325" s="639">
        <f t="shared" si="52"/>
        <v>3.0329192121126496E-2</v>
      </c>
    </row>
    <row r="326" spans="1:42" x14ac:dyDescent="0.2">
      <c r="A326" s="638">
        <v>42552</v>
      </c>
      <c r="B326" s="341" t="s">
        <v>135</v>
      </c>
      <c r="C326" s="351" t="s">
        <v>179</v>
      </c>
      <c r="D326" s="342">
        <v>104610.51</v>
      </c>
      <c r="E326" s="342">
        <v>8865</v>
      </c>
      <c r="F326" s="342">
        <v>95745.509999999806</v>
      </c>
      <c r="G326" s="342">
        <v>71168.410464674205</v>
      </c>
      <c r="H326" s="342">
        <v>38555.620170593298</v>
      </c>
      <c r="I326" s="342">
        <v>32612.790294081002</v>
      </c>
      <c r="J326" s="342">
        <v>2499.21000242233</v>
      </c>
      <c r="K326" s="343">
        <v>68669.20046225196</v>
      </c>
      <c r="L326" s="342">
        <v>37085.359689325101</v>
      </c>
      <c r="M326" s="342">
        <v>-29.110000610351001</v>
      </c>
      <c r="N326" s="354">
        <v>541</v>
      </c>
      <c r="O326" s="343">
        <v>193.36508317929724</v>
      </c>
      <c r="P326" s="343">
        <v>124.86924271956573</v>
      </c>
      <c r="Q326" s="343">
        <v>131.5497420788804</v>
      </c>
      <c r="R326" s="344">
        <v>0.68031797631685786</v>
      </c>
      <c r="S326" s="344">
        <v>1.0939721071121624</v>
      </c>
      <c r="T326" s="343">
        <v>73880.91</v>
      </c>
      <c r="U326" s="342">
        <v>56682.85</v>
      </c>
      <c r="V326" s="342">
        <v>990.12</v>
      </c>
      <c r="W326" s="344">
        <f t="shared" si="53"/>
        <v>1.7467717307792393E-2</v>
      </c>
      <c r="X326" s="342">
        <v>2816.97</v>
      </c>
      <c r="Y326" s="344">
        <f t="shared" si="54"/>
        <v>4.9697042403478296E-2</v>
      </c>
      <c r="Z326" s="342">
        <v>834</v>
      </c>
      <c r="AA326" s="344">
        <f t="shared" si="47"/>
        <v>1.4713445072010318E-2</v>
      </c>
      <c r="AB326" s="342">
        <v>3960.26</v>
      </c>
      <c r="AC326" s="344">
        <f t="shared" si="55"/>
        <v>6.9866987986666171E-2</v>
      </c>
      <c r="AD326" s="342">
        <v>17198.060000000001</v>
      </c>
      <c r="AE326" s="342">
        <v>1948.78</v>
      </c>
      <c r="AF326" s="344">
        <f t="shared" si="48"/>
        <v>0.11331394354944685</v>
      </c>
      <c r="AG326" s="342">
        <v>2650.16</v>
      </c>
      <c r="AH326" s="344">
        <f t="shared" si="49"/>
        <v>0.15409645041359313</v>
      </c>
      <c r="AI326" s="342">
        <v>1146.23</v>
      </c>
      <c r="AJ326" s="344">
        <f t="shared" si="50"/>
        <v>6.6648796434016389E-2</v>
      </c>
      <c r="AK326" s="342">
        <v>9353.89</v>
      </c>
      <c r="AL326" s="784">
        <f t="shared" si="51"/>
        <v>0.54389215992966644</v>
      </c>
      <c r="AM326" s="350">
        <v>21.922971240242131</v>
      </c>
      <c r="AN326" s="350">
        <v>18.060424184167591</v>
      </c>
      <c r="AO326" s="350">
        <v>74.286110577846046</v>
      </c>
      <c r="AP326" s="639">
        <f t="shared" si="52"/>
        <v>3.6995594221684136E-2</v>
      </c>
    </row>
    <row r="327" spans="1:42" x14ac:dyDescent="0.2">
      <c r="A327" s="638">
        <v>42552</v>
      </c>
      <c r="B327" s="341" t="s">
        <v>135</v>
      </c>
      <c r="C327" s="351" t="s">
        <v>186</v>
      </c>
      <c r="D327" s="342">
        <v>92413.550003051801</v>
      </c>
      <c r="E327" s="342">
        <v>6425</v>
      </c>
      <c r="F327" s="342">
        <v>85988.550003051801</v>
      </c>
      <c r="G327" s="342">
        <v>58693.310364723198</v>
      </c>
      <c r="H327" s="342">
        <v>30464.650134086602</v>
      </c>
      <c r="I327" s="342">
        <v>28228.6602306366</v>
      </c>
      <c r="J327" s="342">
        <v>1673.97000002861</v>
      </c>
      <c r="K327" s="343">
        <v>57019.340364694595</v>
      </c>
      <c r="L327" s="342">
        <v>29747.399676322901</v>
      </c>
      <c r="M327" s="342">
        <v>213</v>
      </c>
      <c r="N327" s="354">
        <v>430</v>
      </c>
      <c r="O327" s="343">
        <v>214.91523256523675</v>
      </c>
      <c r="P327" s="343">
        <v>145.23988448076489</v>
      </c>
      <c r="Q327" s="343">
        <v>136.49607061563538</v>
      </c>
      <c r="R327" s="344">
        <v>0.6351158500326517</v>
      </c>
      <c r="S327" s="344">
        <v>0.96568117650213259</v>
      </c>
      <c r="T327" s="343">
        <v>52039.47</v>
      </c>
      <c r="U327" s="342">
        <v>46038.54</v>
      </c>
      <c r="V327" s="342">
        <v>1174.5</v>
      </c>
      <c r="W327" s="344">
        <f t="shared" si="53"/>
        <v>2.5511234717695216E-2</v>
      </c>
      <c r="X327" s="342">
        <v>2549.08</v>
      </c>
      <c r="Y327" s="344">
        <f t="shared" si="54"/>
        <v>5.5368393524208193E-2</v>
      </c>
      <c r="Z327" s="342">
        <v>1795.12</v>
      </c>
      <c r="AA327" s="344">
        <f t="shared" si="47"/>
        <v>3.8991679579760782E-2</v>
      </c>
      <c r="AB327" s="342">
        <v>714.08</v>
      </c>
      <c r="AC327" s="344">
        <f t="shared" si="55"/>
        <v>1.5510483173445553E-2</v>
      </c>
      <c r="AD327" s="342">
        <v>6000.93</v>
      </c>
      <c r="AE327" s="342">
        <v>-12.63</v>
      </c>
      <c r="AF327" s="344">
        <v>0</v>
      </c>
      <c r="AG327" s="342">
        <v>1556.33</v>
      </c>
      <c r="AH327" s="344">
        <f t="shared" si="49"/>
        <v>0.25934813437250559</v>
      </c>
      <c r="AI327" s="342">
        <v>1671.85</v>
      </c>
      <c r="AJ327" s="344">
        <f t="shared" si="50"/>
        <v>0.27859848390166186</v>
      </c>
      <c r="AK327" s="342">
        <v>1903.45</v>
      </c>
      <c r="AL327" s="784">
        <f t="shared" si="51"/>
        <v>0.3171925018288832</v>
      </c>
      <c r="AM327" s="350">
        <v>17.368088182194988</v>
      </c>
      <c r="AN327" s="350">
        <v>16.553596905570821</v>
      </c>
      <c r="AO327" s="350">
        <v>27.899767537968799</v>
      </c>
      <c r="AP327" s="639">
        <f t="shared" si="52"/>
        <v>2.680361184777862E-2</v>
      </c>
    </row>
    <row r="328" spans="1:42" x14ac:dyDescent="0.2">
      <c r="A328" s="638">
        <v>42552</v>
      </c>
      <c r="B328" s="341" t="s">
        <v>135</v>
      </c>
      <c r="C328" s="351" t="s">
        <v>187</v>
      </c>
      <c r="D328" s="342">
        <v>100141</v>
      </c>
      <c r="E328" s="342">
        <v>7992</v>
      </c>
      <c r="F328" s="342">
        <v>92149</v>
      </c>
      <c r="G328" s="342">
        <v>63052.220372671298</v>
      </c>
      <c r="H328" s="342">
        <v>33389.330123901404</v>
      </c>
      <c r="I328" s="342">
        <v>29662.890248769902</v>
      </c>
      <c r="J328" s="342">
        <v>2636.9799985885602</v>
      </c>
      <c r="K328" s="343">
        <v>60415.240374082743</v>
      </c>
      <c r="L328" s="342">
        <v>36511.929678192399</v>
      </c>
      <c r="M328" s="342">
        <v>-13.060000419615999</v>
      </c>
      <c r="N328" s="354">
        <v>472</v>
      </c>
      <c r="O328" s="343">
        <v>212.16313559322035</v>
      </c>
      <c r="P328" s="343">
        <v>134.83502186912546</v>
      </c>
      <c r="Q328" s="343">
        <v>133.58521265396462</v>
      </c>
      <c r="R328" s="344">
        <v>0.62963441919564722</v>
      </c>
      <c r="S328" s="344">
        <v>1.0335556922353724</v>
      </c>
      <c r="T328" s="343">
        <v>63476.62</v>
      </c>
      <c r="U328" s="342">
        <v>54250.76</v>
      </c>
      <c r="V328" s="342">
        <v>453.06</v>
      </c>
      <c r="W328" s="344">
        <f t="shared" si="53"/>
        <v>8.3512194114884284E-3</v>
      </c>
      <c r="X328" s="342">
        <v>1549</v>
      </c>
      <c r="Y328" s="344">
        <f t="shared" si="54"/>
        <v>2.8552595392212016E-2</v>
      </c>
      <c r="Z328" s="342">
        <v>441.45</v>
      </c>
      <c r="AA328" s="344">
        <f t="shared" si="47"/>
        <v>8.137213192958034E-3</v>
      </c>
      <c r="AB328" s="342">
        <v>3701.77</v>
      </c>
      <c r="AC328" s="344">
        <f t="shared" si="55"/>
        <v>6.8234435794079201E-2</v>
      </c>
      <c r="AD328" s="342">
        <v>9225.86</v>
      </c>
      <c r="AE328" s="342">
        <v>1087.2</v>
      </c>
      <c r="AF328" s="344">
        <f t="shared" si="48"/>
        <v>0.11784267266141042</v>
      </c>
      <c r="AG328" s="342">
        <v>1257.27</v>
      </c>
      <c r="AH328" s="344">
        <f t="shared" si="49"/>
        <v>0.13627672650571329</v>
      </c>
      <c r="AI328" s="342">
        <v>1393.65</v>
      </c>
      <c r="AJ328" s="344">
        <f t="shared" si="50"/>
        <v>0.15105908825843878</v>
      </c>
      <c r="AK328" s="342">
        <v>6464.21</v>
      </c>
      <c r="AL328" s="784">
        <f t="shared" si="51"/>
        <v>0.70066205210137589</v>
      </c>
      <c r="AM328" s="350">
        <v>19.190882454696101</v>
      </c>
      <c r="AN328" s="350">
        <v>17.504070961430877</v>
      </c>
      <c r="AO328" s="350">
        <v>44.286489946130466</v>
      </c>
      <c r="AP328" s="639">
        <f t="shared" si="52"/>
        <v>4.1434502353036202E-2</v>
      </c>
    </row>
    <row r="329" spans="1:42" x14ac:dyDescent="0.2">
      <c r="A329" s="638">
        <v>42552</v>
      </c>
      <c r="B329" s="341" t="s">
        <v>135</v>
      </c>
      <c r="C329" s="351" t="s">
        <v>188</v>
      </c>
      <c r="D329" s="342">
        <v>122592.49000121999</v>
      </c>
      <c r="E329" s="342">
        <v>9677</v>
      </c>
      <c r="F329" s="342">
        <v>112915.49000121999</v>
      </c>
      <c r="G329" s="342">
        <v>81302.070512542501</v>
      </c>
      <c r="H329" s="342">
        <v>40516.190182685903</v>
      </c>
      <c r="I329" s="342">
        <v>40785.880329856598</v>
      </c>
      <c r="J329" s="342">
        <v>3150.4199910163902</v>
      </c>
      <c r="K329" s="343">
        <v>78151.650521526113</v>
      </c>
      <c r="L329" s="342">
        <v>41513.559540023998</v>
      </c>
      <c r="M329" s="342">
        <v>387.94999694824202</v>
      </c>
      <c r="N329" s="354">
        <v>681</v>
      </c>
      <c r="O329" s="343">
        <v>180.01834067726872</v>
      </c>
      <c r="P329" s="343">
        <v>118.4889580972801</v>
      </c>
      <c r="Q329" s="343">
        <v>119.38630031210353</v>
      </c>
      <c r="R329" s="344">
        <v>0.66318964980426953</v>
      </c>
      <c r="S329" s="344">
        <v>1.0485102250532441</v>
      </c>
      <c r="T329" s="343">
        <v>84760.28</v>
      </c>
      <c r="U329" s="342">
        <v>66085.440000000002</v>
      </c>
      <c r="V329" s="342">
        <v>2237.41</v>
      </c>
      <c r="W329" s="344">
        <f t="shared" si="53"/>
        <v>3.3856322966148059E-2</v>
      </c>
      <c r="X329" s="342">
        <v>467.63</v>
      </c>
      <c r="Y329" s="344">
        <f t="shared" si="54"/>
        <v>7.0761426420101001E-3</v>
      </c>
      <c r="Z329" s="342">
        <v>1848</v>
      </c>
      <c r="AA329" s="344">
        <f t="shared" si="47"/>
        <v>2.7963799590348493E-2</v>
      </c>
      <c r="AB329" s="342">
        <v>5298.23</v>
      </c>
      <c r="AC329" s="344">
        <f t="shared" si="55"/>
        <v>8.0172425272495712E-2</v>
      </c>
      <c r="AD329" s="342">
        <v>18674.84</v>
      </c>
      <c r="AE329" s="342">
        <v>1746.26</v>
      </c>
      <c r="AF329" s="344">
        <f t="shared" si="48"/>
        <v>9.3508699405189008E-2</v>
      </c>
      <c r="AG329" s="342">
        <v>1494.76</v>
      </c>
      <c r="AH329" s="344">
        <f t="shared" si="49"/>
        <v>8.0041381880647966E-2</v>
      </c>
      <c r="AI329" s="342">
        <v>3128.34</v>
      </c>
      <c r="AJ329" s="344">
        <f t="shared" si="50"/>
        <v>0.16751629465098497</v>
      </c>
      <c r="AK329" s="342">
        <v>10904.9</v>
      </c>
      <c r="AL329" s="784">
        <f t="shared" si="51"/>
        <v>0.58393539114659077</v>
      </c>
      <c r="AM329" s="350">
        <v>21.455005948758938</v>
      </c>
      <c r="AN329" s="350">
        <v>17.87018358673085</v>
      </c>
      <c r="AO329" s="350">
        <v>73.95325383904607</v>
      </c>
      <c r="AP329" s="639">
        <f t="shared" si="52"/>
        <v>3.9043025290940246E-2</v>
      </c>
    </row>
    <row r="330" spans="1:42" x14ac:dyDescent="0.2">
      <c r="A330" s="638">
        <v>42552</v>
      </c>
      <c r="B330" s="341" t="s">
        <v>136</v>
      </c>
      <c r="C330" s="351" t="s">
        <v>189</v>
      </c>
      <c r="D330" s="342">
        <v>106605.76000028499</v>
      </c>
      <c r="E330" s="342">
        <v>5627</v>
      </c>
      <c r="F330" s="342">
        <v>100978.76000028499</v>
      </c>
      <c r="G330" s="342">
        <v>71120.520164281101</v>
      </c>
      <c r="H330" s="342">
        <v>36554.610147386797</v>
      </c>
      <c r="I330" s="342">
        <v>34565.910016894297</v>
      </c>
      <c r="J330" s="342">
        <v>1241.24999904633</v>
      </c>
      <c r="K330" s="343">
        <v>69879.270165234775</v>
      </c>
      <c r="L330" s="342">
        <v>47990.220043182402</v>
      </c>
      <c r="M330" s="342">
        <v>-124.710000991821</v>
      </c>
      <c r="N330" s="354">
        <v>491</v>
      </c>
      <c r="O330" s="343">
        <v>217.119674135</v>
      </c>
      <c r="P330" s="343">
        <v>119.63391030161795</v>
      </c>
      <c r="Q330" s="343">
        <v>144.84830990688616</v>
      </c>
      <c r="R330" s="344">
        <v>0.66713581108648323</v>
      </c>
      <c r="S330" s="344">
        <v>1.236900123740144</v>
      </c>
      <c r="T330" s="343">
        <v>79063.31</v>
      </c>
      <c r="U330" s="342">
        <v>59631.78</v>
      </c>
      <c r="V330" s="342">
        <v>1919.98</v>
      </c>
      <c r="W330" s="344">
        <f t="shared" si="53"/>
        <v>3.2197261259013232E-2</v>
      </c>
      <c r="X330" s="342">
        <v>1641.38</v>
      </c>
      <c r="Y330" s="344">
        <f t="shared" si="54"/>
        <v>2.7525255828351931E-2</v>
      </c>
      <c r="Z330" s="342">
        <v>2740.27</v>
      </c>
      <c r="AA330" s="344">
        <f t="shared" si="47"/>
        <v>4.5953181340553644E-2</v>
      </c>
      <c r="AB330" s="342">
        <v>3594.15</v>
      </c>
      <c r="AC330" s="344">
        <f t="shared" si="55"/>
        <v>6.027239166766446E-2</v>
      </c>
      <c r="AD330" s="342">
        <v>19431.53</v>
      </c>
      <c r="AE330" s="342">
        <v>93.7</v>
      </c>
      <c r="AF330" s="344">
        <f t="shared" si="48"/>
        <v>4.8220598172145999E-3</v>
      </c>
      <c r="AG330" s="342">
        <v>1505.59</v>
      </c>
      <c r="AH330" s="344">
        <f t="shared" si="49"/>
        <v>7.7481804057632109E-2</v>
      </c>
      <c r="AI330" s="342">
        <v>2527.33</v>
      </c>
      <c r="AJ330" s="344">
        <f t="shared" si="50"/>
        <v>0.13006335579339354</v>
      </c>
      <c r="AK330" s="342">
        <v>12468.06</v>
      </c>
      <c r="AL330" s="784">
        <f t="shared" si="51"/>
        <v>0.64164067368858757</v>
      </c>
      <c r="AM330" s="350">
        <v>21.789907102630707</v>
      </c>
      <c r="AN330" s="350">
        <v>17.279712776442459</v>
      </c>
      <c r="AO330" s="350">
        <v>109.49397069872276</v>
      </c>
      <c r="AP330" s="639">
        <f t="shared" si="52"/>
        <v>2.1131166447739734E-2</v>
      </c>
    </row>
    <row r="331" spans="1:42" x14ac:dyDescent="0.2">
      <c r="A331" s="638">
        <v>42552</v>
      </c>
      <c r="B331" s="341" t="s">
        <v>136</v>
      </c>
      <c r="C331" s="351" t="s">
        <v>190</v>
      </c>
      <c r="D331" s="342">
        <v>145696.80000692201</v>
      </c>
      <c r="E331" s="342">
        <v>6034</v>
      </c>
      <c r="F331" s="342">
        <v>139662.80000692201</v>
      </c>
      <c r="G331" s="342">
        <v>106280.030379195</v>
      </c>
      <c r="H331" s="342">
        <v>52243.3701314926</v>
      </c>
      <c r="I331" s="342">
        <v>54036.660247702202</v>
      </c>
      <c r="J331" s="342">
        <v>4143.2799904346502</v>
      </c>
      <c r="K331" s="343">
        <v>102136.75038876015</v>
      </c>
      <c r="L331" s="342">
        <v>65905.210051536604</v>
      </c>
      <c r="M331" s="342">
        <v>-441.41999769210798</v>
      </c>
      <c r="N331" s="354">
        <v>679</v>
      </c>
      <c r="O331" s="343">
        <v>214.57555229296321</v>
      </c>
      <c r="P331" s="343">
        <v>118.1634903579934</v>
      </c>
      <c r="Q331" s="343">
        <v>156.52434518290838</v>
      </c>
      <c r="R331" s="344">
        <v>0.72946029270475032</v>
      </c>
      <c r="S331" s="344">
        <v>1.3967723427507786</v>
      </c>
      <c r="T331" s="343">
        <v>120499.98</v>
      </c>
      <c r="U331" s="342">
        <v>87372.54</v>
      </c>
      <c r="V331" s="342">
        <v>3997.39</v>
      </c>
      <c r="W331" s="344">
        <f t="shared" si="53"/>
        <v>4.5751102119727778E-2</v>
      </c>
      <c r="X331" s="342">
        <v>2720.69</v>
      </c>
      <c r="Y331" s="344">
        <f t="shared" si="54"/>
        <v>3.1138959677720256E-2</v>
      </c>
      <c r="Z331" s="342">
        <v>1221.1300000000001</v>
      </c>
      <c r="AA331" s="344">
        <f t="shared" si="47"/>
        <v>1.397613025785905E-2</v>
      </c>
      <c r="AB331" s="342">
        <v>5166.67</v>
      </c>
      <c r="AC331" s="344">
        <f t="shared" si="55"/>
        <v>5.9133796499449373E-2</v>
      </c>
      <c r="AD331" s="342">
        <v>33127.440000000002</v>
      </c>
      <c r="AE331" s="342">
        <v>1003.83</v>
      </c>
      <c r="AF331" s="344">
        <f t="shared" si="48"/>
        <v>3.0302069824894407E-2</v>
      </c>
      <c r="AG331" s="342">
        <v>2515.36</v>
      </c>
      <c r="AH331" s="344">
        <f t="shared" si="49"/>
        <v>7.5929803208458005E-2</v>
      </c>
      <c r="AI331" s="342">
        <v>3952.98</v>
      </c>
      <c r="AJ331" s="344">
        <f t="shared" si="50"/>
        <v>0.11932645565126673</v>
      </c>
      <c r="AK331" s="342">
        <v>24692.31</v>
      </c>
      <c r="AL331" s="784">
        <f t="shared" si="51"/>
        <v>0.74537332193492767</v>
      </c>
      <c r="AM331" s="350">
        <v>20.90341550604224</v>
      </c>
      <c r="AN331" s="350">
        <v>15.915218047761348</v>
      </c>
      <c r="AO331" s="350">
        <v>120.5803445765591</v>
      </c>
      <c r="AP331" s="639">
        <f t="shared" si="52"/>
        <v>5.1640590236584107E-2</v>
      </c>
    </row>
    <row r="332" spans="1:42" x14ac:dyDescent="0.2">
      <c r="A332" s="638">
        <v>42552</v>
      </c>
      <c r="B332" s="341" t="s">
        <v>136</v>
      </c>
      <c r="C332" s="351" t="s">
        <v>191</v>
      </c>
      <c r="D332" s="342">
        <v>130060.49000240301</v>
      </c>
      <c r="E332" s="342">
        <v>4664</v>
      </c>
      <c r="F332" s="342">
        <v>125396.49000240301</v>
      </c>
      <c r="G332" s="342">
        <v>94856.540257902801</v>
      </c>
      <c r="H332" s="342">
        <v>36085.580091416799</v>
      </c>
      <c r="I332" s="342">
        <v>58770.960166486002</v>
      </c>
      <c r="J332" s="342">
        <v>3001.3800048828102</v>
      </c>
      <c r="K332" s="343">
        <v>91855.160253019989</v>
      </c>
      <c r="L332" s="342">
        <v>77973.1101729777</v>
      </c>
      <c r="M332" s="342">
        <v>628.81000137329102</v>
      </c>
      <c r="N332" s="354">
        <v>556</v>
      </c>
      <c r="O332" s="343">
        <v>233.92174460863851</v>
      </c>
      <c r="P332" s="343">
        <v>92.551384582827367</v>
      </c>
      <c r="Q332" s="343">
        <v>170.60528823363813</v>
      </c>
      <c r="R332" s="344">
        <v>0.729326333125073</v>
      </c>
      <c r="S332" s="344">
        <v>1.9575328367999649</v>
      </c>
      <c r="T332" s="343">
        <v>118294.79999999999</v>
      </c>
      <c r="U332" s="342">
        <v>88335.7</v>
      </c>
      <c r="V332" s="342">
        <v>3803.29</v>
      </c>
      <c r="W332" s="344">
        <f t="shared" si="53"/>
        <v>4.3054959659571387E-2</v>
      </c>
      <c r="X332" s="342">
        <v>2717.57</v>
      </c>
      <c r="Y332" s="344">
        <f t="shared" si="54"/>
        <v>3.0764119150015229E-2</v>
      </c>
      <c r="Z332" s="342">
        <v>802.96</v>
      </c>
      <c r="AA332" s="344">
        <f t="shared" si="47"/>
        <v>9.0898696676428685E-3</v>
      </c>
      <c r="AB332" s="342">
        <v>4381.93</v>
      </c>
      <c r="AC332" s="344">
        <f t="shared" si="55"/>
        <v>4.9605425665953863E-2</v>
      </c>
      <c r="AD332" s="342">
        <v>29959.1</v>
      </c>
      <c r="AE332" s="342">
        <v>3095.22</v>
      </c>
      <c r="AF332" s="344">
        <f t="shared" si="48"/>
        <v>0.10331485258235394</v>
      </c>
      <c r="AG332" s="342">
        <v>2783.05</v>
      </c>
      <c r="AH332" s="344">
        <f t="shared" si="49"/>
        <v>9.2894980156279741E-2</v>
      </c>
      <c r="AI332" s="342">
        <v>2766.01</v>
      </c>
      <c r="AJ332" s="344">
        <f t="shared" si="50"/>
        <v>9.2326204725776156E-2</v>
      </c>
      <c r="AK332" s="342">
        <v>15664.84</v>
      </c>
      <c r="AL332" s="784">
        <f t="shared" si="51"/>
        <v>0.52287418513907291</v>
      </c>
      <c r="AM332" s="350">
        <v>21.077378761003438</v>
      </c>
      <c r="AN332" s="350">
        <v>16.284061887881357</v>
      </c>
      <c r="AO332" s="350">
        <v>159.58327414772725</v>
      </c>
      <c r="AP332" s="639">
        <f t="shared" si="52"/>
        <v>5.8326144992211663E-2</v>
      </c>
    </row>
    <row r="333" spans="1:42" x14ac:dyDescent="0.2">
      <c r="A333" s="638">
        <v>42552</v>
      </c>
      <c r="B333" s="341" t="s">
        <v>136</v>
      </c>
      <c r="C333" s="351" t="s">
        <v>192</v>
      </c>
      <c r="D333" s="342">
        <v>211126.23000415601</v>
      </c>
      <c r="E333" s="342">
        <v>11603</v>
      </c>
      <c r="F333" s="342">
        <v>199523.23000415601</v>
      </c>
      <c r="G333" s="342">
        <v>149732.820628569</v>
      </c>
      <c r="H333" s="342">
        <v>69248.210294082804</v>
      </c>
      <c r="I333" s="342">
        <v>80484.610334485798</v>
      </c>
      <c r="J333" s="342">
        <v>3094.1199970245402</v>
      </c>
      <c r="K333" s="343">
        <v>146638.70063154405</v>
      </c>
      <c r="L333" s="342">
        <v>84822.950216213198</v>
      </c>
      <c r="M333" s="342">
        <v>424.12001037597702</v>
      </c>
      <c r="N333" s="354">
        <v>1424</v>
      </c>
      <c r="O333" s="343">
        <v>148.26280196921067</v>
      </c>
      <c r="P333" s="343">
        <v>88.398286360650872</v>
      </c>
      <c r="Q333" s="343">
        <v>105.14945268860154</v>
      </c>
      <c r="R333" s="344">
        <v>0.70920993864959891</v>
      </c>
      <c r="S333" s="344">
        <v>1.2194712067218525</v>
      </c>
      <c r="T333" s="343">
        <v>177974.05</v>
      </c>
      <c r="U333" s="342">
        <v>126984.46</v>
      </c>
      <c r="V333" s="342">
        <v>4540.04</v>
      </c>
      <c r="W333" s="344">
        <f t="shared" si="53"/>
        <v>3.575272123848855E-2</v>
      </c>
      <c r="X333" s="342">
        <v>2276.1</v>
      </c>
      <c r="Y333" s="344">
        <f t="shared" si="54"/>
        <v>1.7924240493679303E-2</v>
      </c>
      <c r="Z333" s="342">
        <v>1781.41</v>
      </c>
      <c r="AA333" s="344">
        <f t="shared" si="47"/>
        <v>1.4028566960083148E-2</v>
      </c>
      <c r="AB333" s="342">
        <v>8196.77</v>
      </c>
      <c r="AC333" s="344">
        <f t="shared" si="55"/>
        <v>6.4549394469212998E-2</v>
      </c>
      <c r="AD333" s="342">
        <v>50989.59</v>
      </c>
      <c r="AE333" s="342">
        <v>4257.95</v>
      </c>
      <c r="AF333" s="344">
        <f t="shared" si="48"/>
        <v>8.3506260787741191E-2</v>
      </c>
      <c r="AG333" s="342">
        <v>5953.32</v>
      </c>
      <c r="AH333" s="344">
        <f t="shared" si="49"/>
        <v>0.11675559658353793</v>
      </c>
      <c r="AI333" s="342">
        <v>6761.37</v>
      </c>
      <c r="AJ333" s="344">
        <f t="shared" si="50"/>
        <v>0.13260294895487493</v>
      </c>
      <c r="AK333" s="342">
        <v>26980.79</v>
      </c>
      <c r="AL333" s="784">
        <f t="shared" si="51"/>
        <v>0.52914310548486476</v>
      </c>
      <c r="AM333" s="350">
        <v>24.886037721450457</v>
      </c>
      <c r="AN333" s="350">
        <v>18.932759455785092</v>
      </c>
      <c r="AO333" s="350">
        <v>114.72944573614339</v>
      </c>
      <c r="AP333" s="639">
        <f t="shared" si="52"/>
        <v>2.4580081424851942E-2</v>
      </c>
    </row>
    <row r="334" spans="1:42" x14ac:dyDescent="0.2">
      <c r="A334" s="638">
        <v>42552</v>
      </c>
      <c r="B334" s="341" t="s">
        <v>136</v>
      </c>
      <c r="C334" s="351" t="s">
        <v>193</v>
      </c>
      <c r="D334" s="342">
        <v>41025.969999790199</v>
      </c>
      <c r="E334" s="342">
        <v>1469</v>
      </c>
      <c r="F334" s="342">
        <v>39556.969999790199</v>
      </c>
      <c r="G334" s="342">
        <v>22085.930137038202</v>
      </c>
      <c r="H334" s="342">
        <v>10171.2100448608</v>
      </c>
      <c r="I334" s="342">
        <v>11914.7200921774</v>
      </c>
      <c r="J334" s="342">
        <v>170.48000335693399</v>
      </c>
      <c r="K334" s="343">
        <v>21915.450133681268</v>
      </c>
      <c r="L334" s="342">
        <v>18800.869972229</v>
      </c>
      <c r="M334" s="342">
        <v>40</v>
      </c>
      <c r="N334" s="354">
        <v>178</v>
      </c>
      <c r="O334" s="343">
        <v>230.48297752691124</v>
      </c>
      <c r="P334" s="343">
        <v>124.63539341326516</v>
      </c>
      <c r="Q334" s="343">
        <v>124.07825919684383</v>
      </c>
      <c r="R334" s="344">
        <v>0.53834023027733768</v>
      </c>
      <c r="S334" s="344">
        <v>1.003239216155243</v>
      </c>
      <c r="T334" s="343">
        <v>32407.15</v>
      </c>
      <c r="U334" s="342">
        <v>31339.58</v>
      </c>
      <c r="V334" s="342">
        <v>364.69</v>
      </c>
      <c r="W334" s="344">
        <f t="shared" si="53"/>
        <v>1.1636722636359516E-2</v>
      </c>
      <c r="X334" s="342">
        <v>0</v>
      </c>
      <c r="Y334" s="344">
        <f t="shared" si="54"/>
        <v>0</v>
      </c>
      <c r="Z334" s="342">
        <v>0</v>
      </c>
      <c r="AA334" s="344">
        <f t="shared" si="47"/>
        <v>0</v>
      </c>
      <c r="AB334" s="342">
        <v>0</v>
      </c>
      <c r="AC334" s="344">
        <f t="shared" si="55"/>
        <v>0</v>
      </c>
      <c r="AD334" s="342">
        <v>1067.57</v>
      </c>
      <c r="AE334" s="342">
        <v>206.47</v>
      </c>
      <c r="AF334" s="344">
        <f t="shared" si="48"/>
        <v>0.19340183781859738</v>
      </c>
      <c r="AG334" s="342">
        <v>459.61</v>
      </c>
      <c r="AH334" s="344">
        <f t="shared" si="49"/>
        <v>0.43051977856252988</v>
      </c>
      <c r="AI334" s="342">
        <v>0</v>
      </c>
      <c r="AJ334" s="344">
        <f t="shared" si="50"/>
        <v>0</v>
      </c>
      <c r="AK334" s="342">
        <v>0</v>
      </c>
      <c r="AL334" s="784">
        <f t="shared" si="51"/>
        <v>0</v>
      </c>
      <c r="AM334" s="350">
        <v>21.921203295210319</v>
      </c>
      <c r="AN334" s="350">
        <v>21.903493958767566</v>
      </c>
      <c r="AO334" s="350">
        <v>22.454148165459216</v>
      </c>
      <c r="AP334" s="639">
        <f t="shared" si="52"/>
        <v>7.6844369935290665E-3</v>
      </c>
    </row>
    <row r="335" spans="1:42" x14ac:dyDescent="0.2">
      <c r="A335" s="638">
        <v>42552</v>
      </c>
      <c r="B335" s="341" t="s">
        <v>136</v>
      </c>
      <c r="C335" s="351" t="s">
        <v>194</v>
      </c>
      <c r="D335" s="342">
        <v>120206.9300049</v>
      </c>
      <c r="E335" s="342">
        <v>8709</v>
      </c>
      <c r="F335" s="342">
        <v>111497.9300049</v>
      </c>
      <c r="G335" s="342">
        <v>76040.830282680705</v>
      </c>
      <c r="H335" s="342">
        <v>36555.9001026154</v>
      </c>
      <c r="I335" s="342">
        <v>39484.930180065297</v>
      </c>
      <c r="J335" s="342">
        <v>1775.4200006723399</v>
      </c>
      <c r="K335" s="343">
        <v>74265.41028200835</v>
      </c>
      <c r="L335" s="342">
        <v>54817.039944074997</v>
      </c>
      <c r="M335" s="342">
        <v>35.479999542236001</v>
      </c>
      <c r="N335" s="354">
        <v>508</v>
      </c>
      <c r="O335" s="343">
        <v>236.62781497027558</v>
      </c>
      <c r="P335" s="343">
        <v>128.65041350646214</v>
      </c>
      <c r="Q335" s="343">
        <v>149.6866737848045</v>
      </c>
      <c r="R335" s="344">
        <v>0.63258274942701753</v>
      </c>
      <c r="S335" s="344">
        <v>1.1960056334677585</v>
      </c>
      <c r="T335" s="343">
        <v>69142.62</v>
      </c>
      <c r="U335" s="342">
        <v>51785.52</v>
      </c>
      <c r="V335" s="342">
        <v>760.61</v>
      </c>
      <c r="W335" s="344">
        <f t="shared" si="53"/>
        <v>1.4687696483495773E-2</v>
      </c>
      <c r="X335" s="342">
        <v>1080.83</v>
      </c>
      <c r="Y335" s="344">
        <f t="shared" si="54"/>
        <v>2.08712783032786E-2</v>
      </c>
      <c r="Z335" s="342">
        <v>1500.36</v>
      </c>
      <c r="AA335" s="344">
        <f t="shared" si="47"/>
        <v>2.8972577662636195E-2</v>
      </c>
      <c r="AB335" s="342">
        <v>2120.5700000000002</v>
      </c>
      <c r="AC335" s="344">
        <f t="shared" si="55"/>
        <v>4.0949091560729727E-2</v>
      </c>
      <c r="AD335" s="342">
        <v>17357.099999999999</v>
      </c>
      <c r="AE335" s="342">
        <v>1348</v>
      </c>
      <c r="AF335" s="344">
        <f t="shared" si="48"/>
        <v>7.7662743200188983E-2</v>
      </c>
      <c r="AG335" s="342">
        <v>1400.43</v>
      </c>
      <c r="AH335" s="344">
        <f t="shared" si="49"/>
        <v>8.0683409094837288E-2</v>
      </c>
      <c r="AI335" s="342">
        <v>1583.67</v>
      </c>
      <c r="AJ335" s="344">
        <f t="shared" si="50"/>
        <v>9.1240472198696798E-2</v>
      </c>
      <c r="AK335" s="342">
        <v>8047.35</v>
      </c>
      <c r="AL335" s="784">
        <f t="shared" si="51"/>
        <v>0.46363447810982256</v>
      </c>
      <c r="AM335" s="350">
        <v>18.003737052507248</v>
      </c>
      <c r="AN335" s="350">
        <v>14.378195006271564</v>
      </c>
      <c r="AO335" s="350">
        <v>72.688055465078392</v>
      </c>
      <c r="AP335" s="639">
        <f t="shared" si="52"/>
        <v>2.716603208578473E-2</v>
      </c>
    </row>
    <row r="336" spans="1:42" x14ac:dyDescent="0.2">
      <c r="A336" s="638">
        <v>42552</v>
      </c>
      <c r="B336" s="341" t="s">
        <v>136</v>
      </c>
      <c r="C336" s="351" t="s">
        <v>195</v>
      </c>
      <c r="D336" s="342">
        <v>73543.830005645796</v>
      </c>
      <c r="E336" s="342">
        <v>2768</v>
      </c>
      <c r="F336" s="342">
        <v>70775.830005645796</v>
      </c>
      <c r="G336" s="342">
        <v>47797.4601255655</v>
      </c>
      <c r="H336" s="342">
        <v>19145.3200781345</v>
      </c>
      <c r="I336" s="342">
        <v>28652.140047430999</v>
      </c>
      <c r="J336" s="342">
        <v>1082.86999893188</v>
      </c>
      <c r="K336" s="343">
        <v>46714.590126633622</v>
      </c>
      <c r="L336" s="342">
        <v>34626.2700691223</v>
      </c>
      <c r="M336" s="342">
        <v>141</v>
      </c>
      <c r="N336" s="354">
        <v>394</v>
      </c>
      <c r="O336" s="343">
        <v>186.65946701940558</v>
      </c>
      <c r="P336" s="343">
        <v>98.417664813511408</v>
      </c>
      <c r="Q336" s="343">
        <v>121.31335057250126</v>
      </c>
      <c r="R336" s="344">
        <v>0.64991801653376213</v>
      </c>
      <c r="S336" s="344">
        <v>1.2680493792118099</v>
      </c>
      <c r="T336" s="343">
        <v>48986</v>
      </c>
      <c r="U336" s="342">
        <v>41862.14</v>
      </c>
      <c r="V336" s="342">
        <v>1114.8499999999999</v>
      </c>
      <c r="W336" s="344">
        <f t="shared" si="53"/>
        <v>2.6631462223383705E-2</v>
      </c>
      <c r="X336" s="342">
        <v>1570.41</v>
      </c>
      <c r="Y336" s="344">
        <f t="shared" si="54"/>
        <v>3.7513849029218289E-2</v>
      </c>
      <c r="Z336" s="342">
        <v>-681.98</v>
      </c>
      <c r="AA336" s="344">
        <v>0</v>
      </c>
      <c r="AB336" s="342">
        <v>306.99</v>
      </c>
      <c r="AC336" s="344">
        <f t="shared" si="55"/>
        <v>7.3333565842548902E-3</v>
      </c>
      <c r="AD336" s="342">
        <v>7123.86</v>
      </c>
      <c r="AE336" s="342">
        <v>433.56</v>
      </c>
      <c r="AF336" s="344">
        <f t="shared" si="48"/>
        <v>6.0860263958022763E-2</v>
      </c>
      <c r="AG336" s="342">
        <v>1048.83</v>
      </c>
      <c r="AH336" s="344">
        <f t="shared" si="49"/>
        <v>0.14722776696903084</v>
      </c>
      <c r="AI336" s="342">
        <v>1776</v>
      </c>
      <c r="AJ336" s="344">
        <f t="shared" si="50"/>
        <v>0.249303046382158</v>
      </c>
      <c r="AK336" s="342">
        <v>1982.21</v>
      </c>
      <c r="AL336" s="784">
        <f t="shared" si="51"/>
        <v>0.27824943218985215</v>
      </c>
      <c r="AM336" s="350">
        <v>18.151976202767102</v>
      </c>
      <c r="AN336" s="350">
        <v>16.167473138808244</v>
      </c>
      <c r="AO336" s="350">
        <v>65.13078017066232</v>
      </c>
      <c r="AP336" s="639">
        <f t="shared" si="52"/>
        <v>2.7925891329827039E-2</v>
      </c>
    </row>
    <row r="337" spans="1:42" x14ac:dyDescent="0.2">
      <c r="A337" s="638">
        <v>42552</v>
      </c>
      <c r="B337" s="341" t="s">
        <v>136</v>
      </c>
      <c r="C337" s="351" t="s">
        <v>196</v>
      </c>
      <c r="D337" s="342">
        <v>100366.570004711</v>
      </c>
      <c r="E337" s="342">
        <v>5362</v>
      </c>
      <c r="F337" s="342">
        <v>95004.570004710899</v>
      </c>
      <c r="G337" s="342">
        <v>58584.300164222703</v>
      </c>
      <c r="H337" s="342">
        <v>29729.580150604201</v>
      </c>
      <c r="I337" s="342">
        <v>28854.720013618498</v>
      </c>
      <c r="J337" s="342">
        <v>895.48999786376999</v>
      </c>
      <c r="K337" s="343">
        <v>57688.810166358933</v>
      </c>
      <c r="L337" s="342">
        <v>42031.580032348596</v>
      </c>
      <c r="M337" s="342">
        <v>0</v>
      </c>
      <c r="N337" s="354">
        <v>490</v>
      </c>
      <c r="O337" s="343">
        <v>204.82973470349162</v>
      </c>
      <c r="P337" s="343">
        <v>119.05099994359654</v>
      </c>
      <c r="Q337" s="343">
        <v>119.55979625351571</v>
      </c>
      <c r="R337" s="344">
        <v>0.58370332035331018</v>
      </c>
      <c r="S337" s="344">
        <v>1.0199305389189048</v>
      </c>
      <c r="T337" s="343">
        <v>57316.670000000006</v>
      </c>
      <c r="U337" s="342">
        <v>49661.73</v>
      </c>
      <c r="V337" s="342">
        <v>1866.34</v>
      </c>
      <c r="W337" s="344">
        <f t="shared" si="53"/>
        <v>3.7581050841362144E-2</v>
      </c>
      <c r="X337" s="342">
        <v>1398.25</v>
      </c>
      <c r="Y337" s="344">
        <f t="shared" si="54"/>
        <v>2.815548310540128E-2</v>
      </c>
      <c r="Z337" s="342">
        <v>139</v>
      </c>
      <c r="AA337" s="344">
        <f t="shared" si="47"/>
        <v>2.7989359210804777E-3</v>
      </c>
      <c r="AB337" s="342">
        <v>0</v>
      </c>
      <c r="AC337" s="344">
        <f t="shared" si="55"/>
        <v>0</v>
      </c>
      <c r="AD337" s="342">
        <v>7654.94</v>
      </c>
      <c r="AE337" s="342">
        <v>2213.71</v>
      </c>
      <c r="AF337" s="344">
        <f t="shared" si="48"/>
        <v>0.28918711315830042</v>
      </c>
      <c r="AG337" s="342">
        <v>1539.09</v>
      </c>
      <c r="AH337" s="344">
        <f t="shared" si="49"/>
        <v>0.20105840150282039</v>
      </c>
      <c r="AI337" s="342">
        <v>178.04</v>
      </c>
      <c r="AJ337" s="344">
        <f t="shared" si="50"/>
        <v>2.3258183604313032E-2</v>
      </c>
      <c r="AK337" s="342">
        <v>0</v>
      </c>
      <c r="AL337" s="784">
        <f t="shared" si="51"/>
        <v>0</v>
      </c>
      <c r="AM337" s="350">
        <v>17.732720326722358</v>
      </c>
      <c r="AN337" s="350">
        <v>16.416260868343713</v>
      </c>
      <c r="AO337" s="350">
        <v>36.962530178657651</v>
      </c>
      <c r="AP337" s="639">
        <f t="shared" si="52"/>
        <v>1.5350821150188416E-2</v>
      </c>
    </row>
    <row r="338" spans="1:42" x14ac:dyDescent="0.2">
      <c r="A338" s="638">
        <v>42552</v>
      </c>
      <c r="B338" s="341" t="s">
        <v>136</v>
      </c>
      <c r="C338" s="351" t="s">
        <v>290</v>
      </c>
      <c r="D338" s="342">
        <v>61904.000000953703</v>
      </c>
      <c r="E338" s="342">
        <v>4532</v>
      </c>
      <c r="F338" s="342">
        <v>57372.000000953703</v>
      </c>
      <c r="G338" s="342">
        <v>32604.130084991499</v>
      </c>
      <c r="H338" s="342">
        <v>16231.200044155101</v>
      </c>
      <c r="I338" s="342">
        <v>16372.9300408363</v>
      </c>
      <c r="J338" s="342">
        <v>0</v>
      </c>
      <c r="K338" s="343">
        <v>32604.130084991401</v>
      </c>
      <c r="L338" s="342">
        <v>21662.789930343599</v>
      </c>
      <c r="M338" s="342">
        <v>289.870000839233</v>
      </c>
      <c r="N338" s="354">
        <v>292</v>
      </c>
      <c r="O338" s="343">
        <v>212.00000000326611</v>
      </c>
      <c r="P338" s="343">
        <v>136.81965777318791</v>
      </c>
      <c r="Q338" s="343">
        <v>111.65797974312123</v>
      </c>
      <c r="R338" s="344">
        <v>0.52668858368585381</v>
      </c>
      <c r="S338" s="344">
        <v>0.8160960315236403</v>
      </c>
      <c r="T338" s="343">
        <v>36121.21</v>
      </c>
      <c r="U338" s="342">
        <v>33312.43</v>
      </c>
      <c r="V338" s="342">
        <v>0</v>
      </c>
      <c r="W338" s="344">
        <f t="shared" si="53"/>
        <v>0</v>
      </c>
      <c r="X338" s="342">
        <v>0</v>
      </c>
      <c r="Y338" s="344">
        <f t="shared" si="54"/>
        <v>0</v>
      </c>
      <c r="Z338" s="342">
        <v>0</v>
      </c>
      <c r="AA338" s="344">
        <f t="shared" si="47"/>
        <v>0</v>
      </c>
      <c r="AB338" s="342">
        <v>0</v>
      </c>
      <c r="AC338" s="344">
        <f t="shared" si="55"/>
        <v>0</v>
      </c>
      <c r="AD338" s="342">
        <v>2808.78</v>
      </c>
      <c r="AE338" s="342">
        <v>0</v>
      </c>
      <c r="AF338" s="344">
        <f t="shared" si="48"/>
        <v>0</v>
      </c>
      <c r="AG338" s="342">
        <v>0</v>
      </c>
      <c r="AH338" s="344">
        <f t="shared" si="49"/>
        <v>0</v>
      </c>
      <c r="AI338" s="342">
        <v>0</v>
      </c>
      <c r="AJ338" s="344">
        <f t="shared" si="50"/>
        <v>0</v>
      </c>
      <c r="AK338" s="342">
        <v>0</v>
      </c>
      <c r="AL338" s="784">
        <f t="shared" si="51"/>
        <v>0</v>
      </c>
      <c r="AM338" s="350">
        <v>26.634086309597578</v>
      </c>
      <c r="AN338" s="350">
        <v>26.503594683395846</v>
      </c>
      <c r="AO338" s="350">
        <v>28.28580060422961</v>
      </c>
      <c r="AP338" s="639">
        <f t="shared" si="52"/>
        <v>0</v>
      </c>
    </row>
    <row r="339" spans="1:42" x14ac:dyDescent="0.2">
      <c r="A339" s="638">
        <v>42552</v>
      </c>
      <c r="B339" s="341" t="s">
        <v>137</v>
      </c>
      <c r="C339" s="351" t="s">
        <v>209</v>
      </c>
      <c r="D339" s="342">
        <v>66774.310000419602</v>
      </c>
      <c r="E339" s="342">
        <v>4419</v>
      </c>
      <c r="F339" s="342">
        <v>62355.310000419602</v>
      </c>
      <c r="G339" s="342">
        <v>40143.800073117003</v>
      </c>
      <c r="H339" s="342">
        <v>19705.120029449499</v>
      </c>
      <c r="I339" s="342">
        <v>20438.680043667599</v>
      </c>
      <c r="J339" s="342">
        <v>1667.50999951363</v>
      </c>
      <c r="K339" s="343">
        <v>38476.290073603464</v>
      </c>
      <c r="L339" s="342">
        <v>24566.2400016785</v>
      </c>
      <c r="M339" s="342">
        <v>618</v>
      </c>
      <c r="N339" s="354">
        <v>304</v>
      </c>
      <c r="O339" s="343">
        <v>219.65233552769607</v>
      </c>
      <c r="P339" s="343">
        <v>136.80944078533258</v>
      </c>
      <c r="Q339" s="343">
        <v>132.05197392472729</v>
      </c>
      <c r="R339" s="344">
        <v>0.60118629564071635</v>
      </c>
      <c r="S339" s="344">
        <v>1.0055417306378625</v>
      </c>
      <c r="T339" s="343">
        <v>44531.619999999995</v>
      </c>
      <c r="U339" s="342">
        <v>38600.699999999997</v>
      </c>
      <c r="V339" s="342">
        <v>2324.89</v>
      </c>
      <c r="W339" s="344">
        <f t="shared" si="53"/>
        <v>6.0229218641112726E-2</v>
      </c>
      <c r="X339" s="342">
        <v>1766.19</v>
      </c>
      <c r="Y339" s="344">
        <f t="shared" si="54"/>
        <v>4.5755387855660655E-2</v>
      </c>
      <c r="Z339" s="342">
        <v>772.43</v>
      </c>
      <c r="AA339" s="344">
        <f t="shared" si="47"/>
        <v>2.0010777006634596E-2</v>
      </c>
      <c r="AB339" s="342">
        <v>161.59</v>
      </c>
      <c r="AC339" s="344">
        <f t="shared" si="55"/>
        <v>4.1861935146253826E-3</v>
      </c>
      <c r="AD339" s="342">
        <v>5930.92</v>
      </c>
      <c r="AE339" s="342">
        <v>1283.82</v>
      </c>
      <c r="AF339" s="344">
        <f t="shared" si="48"/>
        <v>0.21646220147970296</v>
      </c>
      <c r="AG339" s="342">
        <v>1722.84</v>
      </c>
      <c r="AH339" s="344">
        <f t="shared" si="49"/>
        <v>0.29048444423462128</v>
      </c>
      <c r="AI339" s="342">
        <v>661.7</v>
      </c>
      <c r="AJ339" s="344">
        <f t="shared" si="50"/>
        <v>0.11156785119340676</v>
      </c>
      <c r="AK339" s="342">
        <v>265</v>
      </c>
      <c r="AL339" s="784">
        <f t="shared" si="51"/>
        <v>4.4681095007182696E-2</v>
      </c>
      <c r="AM339" s="350">
        <v>20.137208601970176</v>
      </c>
      <c r="AN339" s="350">
        <v>18.643790281246218</v>
      </c>
      <c r="AO339" s="350">
        <v>42.069892812105927</v>
      </c>
      <c r="AP339" s="639">
        <f t="shared" si="52"/>
        <v>4.0093945491414269E-2</v>
      </c>
    </row>
    <row r="340" spans="1:42" x14ac:dyDescent="0.2">
      <c r="A340" s="638">
        <v>42552</v>
      </c>
      <c r="B340" s="341" t="s">
        <v>137</v>
      </c>
      <c r="C340" s="351" t="s">
        <v>197</v>
      </c>
      <c r="D340" s="342">
        <v>142091.71000387101</v>
      </c>
      <c r="E340" s="342">
        <v>5863</v>
      </c>
      <c r="F340" s="342">
        <v>136228.71000387101</v>
      </c>
      <c r="G340" s="342">
        <v>97042.340126872106</v>
      </c>
      <c r="H340" s="342">
        <v>44156.080110311501</v>
      </c>
      <c r="I340" s="342">
        <v>52886.260016560598</v>
      </c>
      <c r="J340" s="342">
        <v>2008.0800011158001</v>
      </c>
      <c r="K340" s="343">
        <v>95034.260125756293</v>
      </c>
      <c r="L340" s="342">
        <v>62564.7400436401</v>
      </c>
      <c r="M340" s="342">
        <v>389</v>
      </c>
      <c r="N340" s="354">
        <v>621</v>
      </c>
      <c r="O340" s="343">
        <v>228.81112722040419</v>
      </c>
      <c r="P340" s="343">
        <v>127.43634454143462</v>
      </c>
      <c r="Q340" s="343">
        <v>156.26785849737857</v>
      </c>
      <c r="R340" s="344">
        <v>0.68295567788035183</v>
      </c>
      <c r="S340" s="344">
        <v>1.258167750249769</v>
      </c>
      <c r="T340" s="343">
        <v>125129.11</v>
      </c>
      <c r="U340" s="342">
        <v>102920.12</v>
      </c>
      <c r="V340" s="342">
        <v>6406.99</v>
      </c>
      <c r="W340" s="344">
        <f t="shared" si="53"/>
        <v>6.2252064999535561E-2</v>
      </c>
      <c r="X340" s="342">
        <v>7554.48</v>
      </c>
      <c r="Y340" s="344">
        <f t="shared" si="54"/>
        <v>7.3401391292586909E-2</v>
      </c>
      <c r="Z340" s="342">
        <v>1281.6199999999999</v>
      </c>
      <c r="AA340" s="344">
        <f t="shared" si="47"/>
        <v>1.2452570012549537E-2</v>
      </c>
      <c r="AB340" s="342">
        <v>7885.95</v>
      </c>
      <c r="AC340" s="344">
        <f t="shared" si="55"/>
        <v>7.662204435828486E-2</v>
      </c>
      <c r="AD340" s="342">
        <v>22208.99</v>
      </c>
      <c r="AE340" s="342">
        <v>1552.43</v>
      </c>
      <c r="AF340" s="344">
        <f t="shared" si="48"/>
        <v>6.9900972534095426E-2</v>
      </c>
      <c r="AG340" s="342">
        <v>3441.02</v>
      </c>
      <c r="AH340" s="344">
        <f t="shared" si="49"/>
        <v>0.1549381579261371</v>
      </c>
      <c r="AI340" s="342">
        <v>2682.51</v>
      </c>
      <c r="AJ340" s="344">
        <f t="shared" si="50"/>
        <v>0.12078487135164634</v>
      </c>
      <c r="AK340" s="342">
        <v>7950.11</v>
      </c>
      <c r="AL340" s="784">
        <f t="shared" si="51"/>
        <v>0.35796810210639923</v>
      </c>
      <c r="AM340" s="350">
        <v>23.168274685098531</v>
      </c>
      <c r="AN340" s="350">
        <v>19.989951514508363</v>
      </c>
      <c r="AO340" s="350">
        <v>88.029996476702195</v>
      </c>
      <c r="AP340" s="639">
        <f t="shared" si="52"/>
        <v>2.5374418905677237E-2</v>
      </c>
    </row>
    <row r="341" spans="1:42" x14ac:dyDescent="0.2">
      <c r="A341" s="638">
        <v>42552</v>
      </c>
      <c r="B341" s="341" t="s">
        <v>137</v>
      </c>
      <c r="C341" s="351" t="s">
        <v>198</v>
      </c>
      <c r="D341" s="342">
        <v>0</v>
      </c>
      <c r="E341" s="342">
        <v>0</v>
      </c>
      <c r="F341" s="342">
        <v>0</v>
      </c>
      <c r="G341" s="342">
        <v>0</v>
      </c>
      <c r="H341" s="342">
        <v>0</v>
      </c>
      <c r="I341" s="342">
        <v>0</v>
      </c>
      <c r="J341" s="342">
        <v>0</v>
      </c>
      <c r="K341" s="343">
        <v>0</v>
      </c>
      <c r="L341" s="342">
        <v>0</v>
      </c>
      <c r="M341" s="342">
        <v>0</v>
      </c>
      <c r="N341" s="354">
        <v>0</v>
      </c>
      <c r="O341" s="343" t="s">
        <v>311</v>
      </c>
      <c r="P341" s="343" t="s">
        <v>311</v>
      </c>
      <c r="Q341" s="343" t="s">
        <v>311</v>
      </c>
      <c r="R341" s="344" t="s">
        <v>312</v>
      </c>
      <c r="S341" s="344" t="s">
        <v>312</v>
      </c>
      <c r="T341" s="343">
        <v>0</v>
      </c>
      <c r="U341" s="342">
        <v>0</v>
      </c>
      <c r="V341" s="342">
        <v>0</v>
      </c>
      <c r="W341" s="344" t="str">
        <f t="shared" si="53"/>
        <v>0.00%</v>
      </c>
      <c r="X341" s="342">
        <v>0</v>
      </c>
      <c r="Y341" s="344" t="str">
        <f t="shared" si="54"/>
        <v>0.00%</v>
      </c>
      <c r="Z341" s="342">
        <v>0</v>
      </c>
      <c r="AA341" s="344">
        <f t="shared" si="47"/>
        <v>0</v>
      </c>
      <c r="AB341" s="342">
        <v>0</v>
      </c>
      <c r="AC341" s="344" t="str">
        <f t="shared" si="55"/>
        <v>0.00%</v>
      </c>
      <c r="AD341" s="342">
        <v>0</v>
      </c>
      <c r="AE341" s="342">
        <v>0</v>
      </c>
      <c r="AF341" s="344" t="str">
        <f t="shared" si="48"/>
        <v>0.00%</v>
      </c>
      <c r="AG341" s="342">
        <v>0</v>
      </c>
      <c r="AH341" s="344" t="str">
        <f t="shared" si="49"/>
        <v>0.00%</v>
      </c>
      <c r="AI341" s="342">
        <v>0</v>
      </c>
      <c r="AJ341" s="344">
        <f t="shared" si="50"/>
        <v>0</v>
      </c>
      <c r="AK341" s="342">
        <v>0</v>
      </c>
      <c r="AL341" s="784" t="str">
        <f t="shared" si="51"/>
        <v>0.00%</v>
      </c>
      <c r="AM341" s="350" t="s">
        <v>313</v>
      </c>
      <c r="AN341" s="350" t="s">
        <v>313</v>
      </c>
      <c r="AO341" s="350" t="s">
        <v>313</v>
      </c>
      <c r="AP341" s="639" t="str">
        <f t="shared" si="52"/>
        <v>0.00%</v>
      </c>
    </row>
    <row r="342" spans="1:42" x14ac:dyDescent="0.2">
      <c r="A342" s="638">
        <v>42552</v>
      </c>
      <c r="B342" s="341" t="s">
        <v>137</v>
      </c>
      <c r="C342" s="351" t="s">
        <v>199</v>
      </c>
      <c r="D342" s="342">
        <v>201765.77000652099</v>
      </c>
      <c r="E342" s="342">
        <v>11935</v>
      </c>
      <c r="F342" s="342">
        <v>189830.77000652099</v>
      </c>
      <c r="G342" s="342">
        <v>143000.67017215499</v>
      </c>
      <c r="H342" s="342">
        <v>65384.480149269097</v>
      </c>
      <c r="I342" s="342">
        <v>77616.190022885799</v>
      </c>
      <c r="J342" s="342">
        <v>5866.3599991798401</v>
      </c>
      <c r="K342" s="343">
        <v>137134.31017297506</v>
      </c>
      <c r="L342" s="342">
        <v>72636.510056406303</v>
      </c>
      <c r="M342" s="342">
        <v>603.49000221490905</v>
      </c>
      <c r="N342" s="354">
        <v>1092</v>
      </c>
      <c r="O342" s="343">
        <v>184.76718865066024</v>
      </c>
      <c r="P342" s="343">
        <v>117.69759152738075</v>
      </c>
      <c r="Q342" s="343">
        <v>130.95299466314552</v>
      </c>
      <c r="R342" s="344">
        <v>0.70874593925190177</v>
      </c>
      <c r="S342" s="344">
        <v>1.1658353014411125</v>
      </c>
      <c r="T342" s="343">
        <v>175610.52000000002</v>
      </c>
      <c r="U342" s="342">
        <v>131956.32</v>
      </c>
      <c r="V342" s="342">
        <v>3698.65</v>
      </c>
      <c r="W342" s="344">
        <f t="shared" si="53"/>
        <v>2.8029350924608992E-2</v>
      </c>
      <c r="X342" s="342">
        <v>3478.41</v>
      </c>
      <c r="Y342" s="344">
        <f t="shared" si="54"/>
        <v>2.6360313776558786E-2</v>
      </c>
      <c r="Z342" s="342">
        <v>-112.69</v>
      </c>
      <c r="AA342" s="344">
        <v>0</v>
      </c>
      <c r="AB342" s="342">
        <v>13500.86</v>
      </c>
      <c r="AC342" s="344">
        <f t="shared" si="55"/>
        <v>0.10231309875874077</v>
      </c>
      <c r="AD342" s="342">
        <v>43654.2</v>
      </c>
      <c r="AE342" s="342">
        <v>2586.94</v>
      </c>
      <c r="AF342" s="344">
        <f t="shared" si="48"/>
        <v>5.9259819215562309E-2</v>
      </c>
      <c r="AG342" s="342">
        <v>5016.2700000000004</v>
      </c>
      <c r="AH342" s="344">
        <f t="shared" si="49"/>
        <v>0.11490921835699659</v>
      </c>
      <c r="AI342" s="342">
        <v>3451.59</v>
      </c>
      <c r="AJ342" s="344">
        <f t="shared" si="50"/>
        <v>7.9066619019475801E-2</v>
      </c>
      <c r="AK342" s="342">
        <v>24675.88</v>
      </c>
      <c r="AL342" s="784">
        <f t="shared" si="51"/>
        <v>0.56525786751332063</v>
      </c>
      <c r="AM342" s="350">
        <v>23.737892769346434</v>
      </c>
      <c r="AN342" s="350">
        <v>18.754425921731521</v>
      </c>
      <c r="AO342" s="350">
        <v>120.62873810254835</v>
      </c>
      <c r="AP342" s="639">
        <f t="shared" si="52"/>
        <v>4.5643453461184272E-2</v>
      </c>
    </row>
    <row r="343" spans="1:42" x14ac:dyDescent="0.2">
      <c r="A343" s="638">
        <v>42552</v>
      </c>
      <c r="B343" s="341" t="s">
        <v>137</v>
      </c>
      <c r="C343" s="351" t="s">
        <v>200</v>
      </c>
      <c r="D343" s="342">
        <v>0</v>
      </c>
      <c r="E343" s="342">
        <v>0</v>
      </c>
      <c r="F343" s="342">
        <v>0</v>
      </c>
      <c r="G343" s="342">
        <v>25</v>
      </c>
      <c r="H343" s="342">
        <v>25</v>
      </c>
      <c r="I343" s="342">
        <v>0</v>
      </c>
      <c r="J343" s="342">
        <v>314.65999603271501</v>
      </c>
      <c r="K343" s="343">
        <v>-289.65999603271501</v>
      </c>
      <c r="L343" s="342">
        <v>0</v>
      </c>
      <c r="M343" s="342">
        <v>1095.98999500275</v>
      </c>
      <c r="N343" s="354">
        <v>0</v>
      </c>
      <c r="O343" s="343" t="s">
        <v>311</v>
      </c>
      <c r="P343" s="343" t="s">
        <v>311</v>
      </c>
      <c r="Q343" s="343" t="s">
        <v>311</v>
      </c>
      <c r="R343" s="344" t="s">
        <v>312</v>
      </c>
      <c r="S343" s="344">
        <v>-1.7722326699657901E-2</v>
      </c>
      <c r="T343" s="343">
        <v>-100</v>
      </c>
      <c r="U343" s="342">
        <v>-25</v>
      </c>
      <c r="V343" s="342">
        <v>0</v>
      </c>
      <c r="W343" s="344">
        <v>0</v>
      </c>
      <c r="X343" s="342">
        <v>0</v>
      </c>
      <c r="Y343" s="344">
        <f t="shared" si="54"/>
        <v>0</v>
      </c>
      <c r="Z343" s="342">
        <v>0</v>
      </c>
      <c r="AA343" s="344">
        <f t="shared" si="47"/>
        <v>0</v>
      </c>
      <c r="AB343" s="342">
        <v>-25</v>
      </c>
      <c r="AC343" s="344">
        <v>0</v>
      </c>
      <c r="AD343" s="342">
        <v>-75</v>
      </c>
      <c r="AE343" s="342">
        <v>0</v>
      </c>
      <c r="AF343" s="344">
        <f t="shared" si="48"/>
        <v>0</v>
      </c>
      <c r="AG343" s="342">
        <v>0</v>
      </c>
      <c r="AH343" s="344">
        <f t="shared" si="49"/>
        <v>0</v>
      </c>
      <c r="AI343" s="342">
        <v>0</v>
      </c>
      <c r="AJ343" s="344">
        <f t="shared" si="50"/>
        <v>0</v>
      </c>
      <c r="AK343" s="342">
        <v>-75</v>
      </c>
      <c r="AL343" s="784">
        <f t="shared" si="51"/>
        <v>1</v>
      </c>
      <c r="AM343" s="350" t="s">
        <v>313</v>
      </c>
      <c r="AN343" s="350" t="s">
        <v>313</v>
      </c>
      <c r="AO343" s="350" t="s">
        <v>313</v>
      </c>
      <c r="AP343" s="639">
        <f t="shared" si="52"/>
        <v>-0.28710115737135494</v>
      </c>
    </row>
    <row r="344" spans="1:42" x14ac:dyDescent="0.2">
      <c r="A344" s="638">
        <v>42552</v>
      </c>
      <c r="B344" s="341" t="s">
        <v>137</v>
      </c>
      <c r="C344" s="351" t="s">
        <v>201</v>
      </c>
      <c r="D344" s="342">
        <v>234976.19000279499</v>
      </c>
      <c r="E344" s="342">
        <v>8404</v>
      </c>
      <c r="F344" s="342">
        <v>226572.19000279499</v>
      </c>
      <c r="G344" s="342">
        <v>166047.85004886999</v>
      </c>
      <c r="H344" s="342">
        <v>52364.080103874199</v>
      </c>
      <c r="I344" s="342">
        <v>113683.76994499601</v>
      </c>
      <c r="J344" s="342">
        <v>3391.3899955749498</v>
      </c>
      <c r="K344" s="343">
        <v>162656.46005329525</v>
      </c>
      <c r="L344" s="342">
        <v>103338.230210323</v>
      </c>
      <c r="M344" s="342">
        <v>-180.600001811981</v>
      </c>
      <c r="N344" s="354">
        <v>1090</v>
      </c>
      <c r="O344" s="343">
        <v>215.57448624109631</v>
      </c>
      <c r="P344" s="343">
        <v>120.93445852686602</v>
      </c>
      <c r="Q344" s="343">
        <v>152.33747710905521</v>
      </c>
      <c r="R344" s="344">
        <v>0.70665819395103435</v>
      </c>
      <c r="S344" s="344">
        <v>1.2929339664583916</v>
      </c>
      <c r="T344" s="343">
        <v>269672.51</v>
      </c>
      <c r="U344" s="342">
        <v>205895.6</v>
      </c>
      <c r="V344" s="342">
        <v>7611.43</v>
      </c>
      <c r="W344" s="344">
        <f t="shared" si="53"/>
        <v>3.6967424267444281E-2</v>
      </c>
      <c r="X344" s="342">
        <v>7403.14</v>
      </c>
      <c r="Y344" s="344">
        <f t="shared" si="54"/>
        <v>3.5955795072842744E-2</v>
      </c>
      <c r="Z344" s="342">
        <v>6816.24</v>
      </c>
      <c r="AA344" s="344">
        <f t="shared" si="47"/>
        <v>3.3105321337609933E-2</v>
      </c>
      <c r="AB344" s="342">
        <v>21811.15</v>
      </c>
      <c r="AC344" s="344">
        <f t="shared" si="55"/>
        <v>0.10593305539312156</v>
      </c>
      <c r="AD344" s="342">
        <v>63776.91</v>
      </c>
      <c r="AE344" s="342">
        <v>5391.58</v>
      </c>
      <c r="AF344" s="344">
        <f t="shared" si="48"/>
        <v>8.4538118889736114E-2</v>
      </c>
      <c r="AG344" s="342">
        <v>7207.21</v>
      </c>
      <c r="AH344" s="344">
        <f t="shared" si="49"/>
        <v>0.1130065724413428</v>
      </c>
      <c r="AI344" s="342">
        <v>7031.01</v>
      </c>
      <c r="AJ344" s="344">
        <f t="shared" si="50"/>
        <v>0.11024381708050766</v>
      </c>
      <c r="AK344" s="342">
        <v>34392.86</v>
      </c>
      <c r="AL344" s="784">
        <f t="shared" si="51"/>
        <v>0.53926820850994506</v>
      </c>
      <c r="AM344" s="350">
        <v>31.060116788015467</v>
      </c>
      <c r="AN344" s="350">
        <v>24.54001583962043</v>
      </c>
      <c r="AO344" s="350">
        <v>218.35591356944497</v>
      </c>
      <c r="AP344" s="639">
        <f t="shared" si="52"/>
        <v>2.5727712401558269E-2</v>
      </c>
    </row>
    <row r="345" spans="1:42" x14ac:dyDescent="0.2">
      <c r="A345" s="638">
        <v>42552</v>
      </c>
      <c r="B345" s="341" t="s">
        <v>137</v>
      </c>
      <c r="C345" s="351" t="s">
        <v>202</v>
      </c>
      <c r="D345" s="342">
        <v>0</v>
      </c>
      <c r="E345" s="342">
        <v>0</v>
      </c>
      <c r="F345" s="342">
        <v>0</v>
      </c>
      <c r="G345" s="342">
        <v>0</v>
      </c>
      <c r="H345" s="342">
        <v>0</v>
      </c>
      <c r="I345" s="342">
        <v>0</v>
      </c>
      <c r="J345" s="342">
        <v>0</v>
      </c>
      <c r="K345" s="343">
        <v>0</v>
      </c>
      <c r="L345" s="342">
        <v>0</v>
      </c>
      <c r="M345" s="342">
        <v>0</v>
      </c>
      <c r="N345" s="354">
        <v>0</v>
      </c>
      <c r="O345" s="343" t="s">
        <v>311</v>
      </c>
      <c r="P345" s="343" t="s">
        <v>311</v>
      </c>
      <c r="Q345" s="343" t="s">
        <v>311</v>
      </c>
      <c r="R345" s="344" t="s">
        <v>312</v>
      </c>
      <c r="S345" s="344" t="s">
        <v>312</v>
      </c>
      <c r="T345" s="343">
        <v>0</v>
      </c>
      <c r="U345" s="342">
        <v>0</v>
      </c>
      <c r="V345" s="342">
        <v>0</v>
      </c>
      <c r="W345" s="344" t="str">
        <f t="shared" si="53"/>
        <v>0.00%</v>
      </c>
      <c r="X345" s="342">
        <v>0</v>
      </c>
      <c r="Y345" s="344" t="str">
        <f t="shared" si="54"/>
        <v>0.00%</v>
      </c>
      <c r="Z345" s="342">
        <v>0</v>
      </c>
      <c r="AA345" s="344">
        <f t="shared" si="47"/>
        <v>0</v>
      </c>
      <c r="AB345" s="342">
        <v>0</v>
      </c>
      <c r="AC345" s="344" t="str">
        <f t="shared" si="55"/>
        <v>0.00%</v>
      </c>
      <c r="AD345" s="342">
        <v>0</v>
      </c>
      <c r="AE345" s="342">
        <v>0</v>
      </c>
      <c r="AF345" s="344" t="str">
        <f t="shared" si="48"/>
        <v>0.00%</v>
      </c>
      <c r="AG345" s="342">
        <v>0</v>
      </c>
      <c r="AH345" s="344" t="str">
        <f t="shared" si="49"/>
        <v>0.00%</v>
      </c>
      <c r="AI345" s="342">
        <v>0</v>
      </c>
      <c r="AJ345" s="344">
        <f t="shared" si="50"/>
        <v>0</v>
      </c>
      <c r="AK345" s="342">
        <v>0</v>
      </c>
      <c r="AL345" s="784" t="str">
        <f t="shared" si="51"/>
        <v>0.00%</v>
      </c>
      <c r="AM345" s="350" t="s">
        <v>313</v>
      </c>
      <c r="AN345" s="350" t="s">
        <v>313</v>
      </c>
      <c r="AO345" s="350" t="s">
        <v>313</v>
      </c>
      <c r="AP345" s="639" t="str">
        <f t="shared" si="52"/>
        <v>0.00%</v>
      </c>
    </row>
    <row r="346" spans="1:42" x14ac:dyDescent="0.2">
      <c r="A346" s="638">
        <v>42552</v>
      </c>
      <c r="B346" s="341" t="s">
        <v>137</v>
      </c>
      <c r="C346" s="351" t="s">
        <v>203</v>
      </c>
      <c r="D346" s="342">
        <v>145329.62000375599</v>
      </c>
      <c r="E346" s="342">
        <v>7459</v>
      </c>
      <c r="F346" s="342">
        <v>137870.62000375599</v>
      </c>
      <c r="G346" s="342">
        <v>103106.050183831</v>
      </c>
      <c r="H346" s="342">
        <v>45711.470077514598</v>
      </c>
      <c r="I346" s="342">
        <v>57394.580106316098</v>
      </c>
      <c r="J346" s="342">
        <v>3704.5099992752098</v>
      </c>
      <c r="K346" s="343">
        <v>99401.540184555488</v>
      </c>
      <c r="L346" s="342">
        <v>54030.119886875204</v>
      </c>
      <c r="M346" s="342">
        <v>536.18000328540802</v>
      </c>
      <c r="N346" s="354">
        <v>822</v>
      </c>
      <c r="O346" s="343">
        <v>176.80002433546957</v>
      </c>
      <c r="P346" s="343">
        <v>110.41766437177053</v>
      </c>
      <c r="Q346" s="343">
        <v>125.43315107521983</v>
      </c>
      <c r="R346" s="344">
        <v>0.70946342652768213</v>
      </c>
      <c r="S346" s="344">
        <v>1.1843264346071156</v>
      </c>
      <c r="T346" s="343">
        <v>144975.14000000001</v>
      </c>
      <c r="U346" s="342">
        <v>111825.83</v>
      </c>
      <c r="V346" s="342">
        <v>6307.33</v>
      </c>
      <c r="W346" s="344">
        <f t="shared" si="53"/>
        <v>5.6403158375842144E-2</v>
      </c>
      <c r="X346" s="342">
        <v>3563.41</v>
      </c>
      <c r="Y346" s="344">
        <f t="shared" si="54"/>
        <v>3.1865714745868641E-2</v>
      </c>
      <c r="Z346" s="342">
        <v>1060.96</v>
      </c>
      <c r="AA346" s="344">
        <f t="shared" si="47"/>
        <v>9.4876112254208174E-3</v>
      </c>
      <c r="AB346" s="342">
        <v>11280.25</v>
      </c>
      <c r="AC346" s="344">
        <f t="shared" si="55"/>
        <v>0.10087338497733483</v>
      </c>
      <c r="AD346" s="342">
        <v>33149.31</v>
      </c>
      <c r="AE346" s="342">
        <v>2660.64</v>
      </c>
      <c r="AF346" s="344">
        <f t="shared" si="48"/>
        <v>8.0262304102257334E-2</v>
      </c>
      <c r="AG346" s="342">
        <v>2634.3</v>
      </c>
      <c r="AH346" s="344">
        <f t="shared" si="49"/>
        <v>7.9467717427602572E-2</v>
      </c>
      <c r="AI346" s="342">
        <v>2624</v>
      </c>
      <c r="AJ346" s="344">
        <f t="shared" si="50"/>
        <v>7.9157002061279708E-2</v>
      </c>
      <c r="AK346" s="342">
        <v>17304.849999999999</v>
      </c>
      <c r="AL346" s="784">
        <f t="shared" si="51"/>
        <v>0.52202745698175923</v>
      </c>
      <c r="AM346" s="350">
        <v>26.00848831345251</v>
      </c>
      <c r="AN346" s="350">
        <v>21.151660456366951</v>
      </c>
      <c r="AO346" s="350">
        <v>115.38667620668318</v>
      </c>
      <c r="AP346" s="639">
        <f t="shared" si="52"/>
        <v>4.0815056067129415E-2</v>
      </c>
    </row>
    <row r="347" spans="1:42" x14ac:dyDescent="0.2">
      <c r="A347" s="638">
        <v>42552</v>
      </c>
      <c r="B347" s="341" t="s">
        <v>137</v>
      </c>
      <c r="C347" s="351" t="s">
        <v>204</v>
      </c>
      <c r="D347" s="342">
        <v>61021.320004958703</v>
      </c>
      <c r="E347" s="342">
        <v>3866</v>
      </c>
      <c r="F347" s="342">
        <v>57155.320004958703</v>
      </c>
      <c r="G347" s="342">
        <v>38257.040081024199</v>
      </c>
      <c r="H347" s="342">
        <v>19339.350070953398</v>
      </c>
      <c r="I347" s="342">
        <v>18917.690010070801</v>
      </c>
      <c r="J347" s="342">
        <v>728.72000217437699</v>
      </c>
      <c r="K347" s="343">
        <v>37528.320078849822</v>
      </c>
      <c r="L347" s="342">
        <v>21880.7800388336</v>
      </c>
      <c r="M347" s="342">
        <v>17.590000152586999</v>
      </c>
      <c r="N347" s="354">
        <v>391</v>
      </c>
      <c r="O347" s="343">
        <v>156.06475704593018</v>
      </c>
      <c r="P347" s="343">
        <v>100.05869556514709</v>
      </c>
      <c r="Q347" s="343">
        <v>97.844092278834268</v>
      </c>
      <c r="R347" s="344">
        <v>0.62694546886097124</v>
      </c>
      <c r="S347" s="344">
        <v>0.9964268098903587</v>
      </c>
      <c r="T347" s="343">
        <v>44276.32</v>
      </c>
      <c r="U347" s="342">
        <v>33747.01</v>
      </c>
      <c r="V347" s="342">
        <v>621.47</v>
      </c>
      <c r="W347" s="344">
        <f t="shared" si="53"/>
        <v>1.841555740790073E-2</v>
      </c>
      <c r="X347" s="342">
        <v>1935.15</v>
      </c>
      <c r="Y347" s="344">
        <f t="shared" si="54"/>
        <v>5.7342857930228482E-2</v>
      </c>
      <c r="Z347" s="342">
        <v>530.64</v>
      </c>
      <c r="AA347" s="344">
        <f t="shared" si="47"/>
        <v>1.5724059701881735E-2</v>
      </c>
      <c r="AB347" s="342">
        <v>443.32</v>
      </c>
      <c r="AC347" s="344">
        <f t="shared" si="55"/>
        <v>1.3136571210308704E-2</v>
      </c>
      <c r="AD347" s="342">
        <v>10529.31</v>
      </c>
      <c r="AE347" s="342">
        <v>1181.77</v>
      </c>
      <c r="AF347" s="344">
        <f t="shared" si="48"/>
        <v>0.11223622440596773</v>
      </c>
      <c r="AG347" s="342">
        <v>2161.62</v>
      </c>
      <c r="AH347" s="344">
        <f t="shared" si="49"/>
        <v>0.20529550369397426</v>
      </c>
      <c r="AI347" s="342">
        <v>2645.54</v>
      </c>
      <c r="AJ347" s="344">
        <f t="shared" si="50"/>
        <v>0.25125483056344622</v>
      </c>
      <c r="AK347" s="342">
        <v>2335.5300000000002</v>
      </c>
      <c r="AL347" s="784">
        <f t="shared" si="51"/>
        <v>0.22181225550392195</v>
      </c>
      <c r="AM347" s="350">
        <v>21.713049846618784</v>
      </c>
      <c r="AN347" s="350">
        <v>17.87035931047582</v>
      </c>
      <c r="AO347" s="350">
        <v>69.859041651308502</v>
      </c>
      <c r="AP347" s="639">
        <f t="shared" si="52"/>
        <v>1.8626407334012052E-2</v>
      </c>
    </row>
    <row r="348" spans="1:42" x14ac:dyDescent="0.2">
      <c r="A348" s="638">
        <v>42552</v>
      </c>
      <c r="B348" s="341" t="s">
        <v>137</v>
      </c>
      <c r="C348" s="351" t="s">
        <v>205</v>
      </c>
      <c r="D348" s="342">
        <v>0</v>
      </c>
      <c r="E348" s="342">
        <v>0</v>
      </c>
      <c r="F348" s="342">
        <v>0</v>
      </c>
      <c r="G348" s="342">
        <v>55</v>
      </c>
      <c r="H348" s="342">
        <v>55</v>
      </c>
      <c r="I348" s="342">
        <v>0</v>
      </c>
      <c r="J348" s="342">
        <v>0</v>
      </c>
      <c r="K348" s="343">
        <v>55</v>
      </c>
      <c r="L348" s="342">
        <v>0</v>
      </c>
      <c r="M348" s="342">
        <v>1592.2599956393201</v>
      </c>
      <c r="N348" s="354">
        <v>0</v>
      </c>
      <c r="O348" s="343" t="s">
        <v>311</v>
      </c>
      <c r="P348" s="343" t="s">
        <v>311</v>
      </c>
      <c r="Q348" s="343" t="s">
        <v>311</v>
      </c>
      <c r="R348" s="344" t="s">
        <v>312</v>
      </c>
      <c r="S348" s="344">
        <v>-3.4542097490753411E-2</v>
      </c>
      <c r="T348" s="343">
        <v>-3.66</v>
      </c>
      <c r="U348" s="342">
        <v>0</v>
      </c>
      <c r="V348" s="342">
        <v>0</v>
      </c>
      <c r="W348" s="344" t="str">
        <f t="shared" si="53"/>
        <v>0.00%</v>
      </c>
      <c r="X348" s="342">
        <v>0</v>
      </c>
      <c r="Y348" s="344" t="str">
        <f t="shared" si="54"/>
        <v>0.00%</v>
      </c>
      <c r="Z348" s="342">
        <v>0</v>
      </c>
      <c r="AA348" s="344">
        <f t="shared" si="47"/>
        <v>0</v>
      </c>
      <c r="AB348" s="342">
        <v>0</v>
      </c>
      <c r="AC348" s="344" t="str">
        <f t="shared" si="55"/>
        <v>0.00%</v>
      </c>
      <c r="AD348" s="342">
        <v>-3.66</v>
      </c>
      <c r="AE348" s="342">
        <v>0</v>
      </c>
      <c r="AF348" s="344">
        <f t="shared" si="48"/>
        <v>0</v>
      </c>
      <c r="AG348" s="342">
        <v>0</v>
      </c>
      <c r="AH348" s="344">
        <f t="shared" si="49"/>
        <v>0</v>
      </c>
      <c r="AI348" s="342">
        <v>0</v>
      </c>
      <c r="AJ348" s="344">
        <f t="shared" si="50"/>
        <v>0</v>
      </c>
      <c r="AK348" s="342">
        <v>-3.66</v>
      </c>
      <c r="AL348" s="784">
        <f t="shared" si="51"/>
        <v>1</v>
      </c>
      <c r="AM348" s="350" t="s">
        <v>313</v>
      </c>
      <c r="AN348" s="350" t="s">
        <v>313</v>
      </c>
      <c r="AO348" s="350" t="s">
        <v>313</v>
      </c>
      <c r="AP348" s="639">
        <f t="shared" si="52"/>
        <v>0</v>
      </c>
    </row>
    <row r="349" spans="1:42" x14ac:dyDescent="0.2">
      <c r="A349" s="638">
        <v>42552</v>
      </c>
      <c r="B349" s="341" t="s">
        <v>137</v>
      </c>
      <c r="C349" s="351" t="s">
        <v>206</v>
      </c>
      <c r="D349" s="342">
        <v>156013.44000516599</v>
      </c>
      <c r="E349" s="342">
        <v>8652</v>
      </c>
      <c r="F349" s="342">
        <v>147361.44000516599</v>
      </c>
      <c r="G349" s="342">
        <v>109638.040117532</v>
      </c>
      <c r="H349" s="342">
        <v>47692.490067482002</v>
      </c>
      <c r="I349" s="342">
        <v>61945.550050049998</v>
      </c>
      <c r="J349" s="342">
        <v>3611.4100068099801</v>
      </c>
      <c r="K349" s="343">
        <v>106026.63011072202</v>
      </c>
      <c r="L349" s="342">
        <v>63268.919970422998</v>
      </c>
      <c r="M349" s="342">
        <v>-963.21000033616997</v>
      </c>
      <c r="N349" s="354">
        <v>778</v>
      </c>
      <c r="O349" s="343">
        <v>200.53141388838816</v>
      </c>
      <c r="P349" s="343">
        <v>120.44695377259532</v>
      </c>
      <c r="Q349" s="343">
        <v>140.92293074232904</v>
      </c>
      <c r="R349" s="344">
        <v>0.70274740505626698</v>
      </c>
      <c r="S349" s="344">
        <v>1.2168980939857619</v>
      </c>
      <c r="T349" s="343">
        <v>189749.69</v>
      </c>
      <c r="U349" s="342">
        <v>146274.32</v>
      </c>
      <c r="V349" s="342">
        <v>7194.49</v>
      </c>
      <c r="W349" s="344">
        <f t="shared" si="53"/>
        <v>4.9184915028147112E-2</v>
      </c>
      <c r="X349" s="342">
        <v>6113.91</v>
      </c>
      <c r="Y349" s="344">
        <f t="shared" si="54"/>
        <v>4.1797562278874378E-2</v>
      </c>
      <c r="Z349" s="342">
        <v>5815.36</v>
      </c>
      <c r="AA349" s="344">
        <f t="shared" si="47"/>
        <v>3.9756534161293655E-2</v>
      </c>
      <c r="AB349" s="342">
        <v>28866.81</v>
      </c>
      <c r="AC349" s="344">
        <f t="shared" si="55"/>
        <v>0.19734708047181487</v>
      </c>
      <c r="AD349" s="342">
        <v>43475.37</v>
      </c>
      <c r="AE349" s="342">
        <v>2218.2600000000002</v>
      </c>
      <c r="AF349" s="344">
        <f t="shared" si="48"/>
        <v>5.1023372544040456E-2</v>
      </c>
      <c r="AG349" s="342">
        <v>4544.55</v>
      </c>
      <c r="AH349" s="344">
        <f t="shared" si="49"/>
        <v>0.10453160030610435</v>
      </c>
      <c r="AI349" s="342">
        <v>3872.73</v>
      </c>
      <c r="AJ349" s="344">
        <f t="shared" si="50"/>
        <v>8.9078712843616972E-2</v>
      </c>
      <c r="AK349" s="342">
        <v>27890.07</v>
      </c>
      <c r="AL349" s="784">
        <f t="shared" si="51"/>
        <v>0.64151426428343217</v>
      </c>
      <c r="AM349" s="350">
        <v>32.22763798724565</v>
      </c>
      <c r="AN349" s="350">
        <v>26.201334298629934</v>
      </c>
      <c r="AO349" s="350">
        <v>142.50066647243062</v>
      </c>
      <c r="AP349" s="639">
        <f t="shared" si="52"/>
        <v>3.8539083226731254E-2</v>
      </c>
    </row>
    <row r="350" spans="1:42" x14ac:dyDescent="0.2">
      <c r="A350" s="638">
        <v>42552</v>
      </c>
      <c r="B350" s="341" t="s">
        <v>137</v>
      </c>
      <c r="C350" s="351" t="s">
        <v>207</v>
      </c>
      <c r="D350" s="342">
        <v>0</v>
      </c>
      <c r="E350" s="342">
        <v>0</v>
      </c>
      <c r="F350" s="342">
        <v>0</v>
      </c>
      <c r="G350" s="342">
        <v>0</v>
      </c>
      <c r="H350" s="342">
        <v>0</v>
      </c>
      <c r="I350" s="342">
        <v>0</v>
      </c>
      <c r="J350" s="342">
        <v>0</v>
      </c>
      <c r="K350" s="343">
        <v>0</v>
      </c>
      <c r="L350" s="342">
        <v>0</v>
      </c>
      <c r="M350" s="342">
        <v>0</v>
      </c>
      <c r="N350" s="354">
        <v>0</v>
      </c>
      <c r="O350" s="343" t="s">
        <v>311</v>
      </c>
      <c r="P350" s="343" t="s">
        <v>311</v>
      </c>
      <c r="Q350" s="343" t="s">
        <v>311</v>
      </c>
      <c r="R350" s="344" t="s">
        <v>312</v>
      </c>
      <c r="S350" s="344" t="s">
        <v>312</v>
      </c>
      <c r="T350" s="343">
        <v>0</v>
      </c>
      <c r="U350" s="342">
        <v>0</v>
      </c>
      <c r="V350" s="342">
        <v>0</v>
      </c>
      <c r="W350" s="344" t="str">
        <f t="shared" si="53"/>
        <v>0.00%</v>
      </c>
      <c r="X350" s="342">
        <v>0</v>
      </c>
      <c r="Y350" s="344" t="str">
        <f t="shared" si="54"/>
        <v>0.00%</v>
      </c>
      <c r="Z350" s="342">
        <v>0</v>
      </c>
      <c r="AA350" s="344">
        <f t="shared" si="47"/>
        <v>0</v>
      </c>
      <c r="AB350" s="342">
        <v>0</v>
      </c>
      <c r="AC350" s="344" t="str">
        <f t="shared" si="55"/>
        <v>0.00%</v>
      </c>
      <c r="AD350" s="342">
        <v>0</v>
      </c>
      <c r="AE350" s="342">
        <v>0</v>
      </c>
      <c r="AF350" s="344" t="str">
        <f t="shared" si="48"/>
        <v>0.00%</v>
      </c>
      <c r="AG350" s="342">
        <v>0</v>
      </c>
      <c r="AH350" s="344" t="str">
        <f t="shared" si="49"/>
        <v>0.00%</v>
      </c>
      <c r="AI350" s="342">
        <v>0</v>
      </c>
      <c r="AJ350" s="344">
        <f t="shared" si="50"/>
        <v>0</v>
      </c>
      <c r="AK350" s="342">
        <v>0</v>
      </c>
      <c r="AL350" s="784" t="str">
        <f t="shared" si="51"/>
        <v>0.00%</v>
      </c>
      <c r="AM350" s="350" t="s">
        <v>313</v>
      </c>
      <c r="AN350" s="350" t="s">
        <v>313</v>
      </c>
      <c r="AO350" s="350" t="s">
        <v>313</v>
      </c>
      <c r="AP350" s="639" t="str">
        <f t="shared" si="52"/>
        <v>0.00%</v>
      </c>
    </row>
    <row r="351" spans="1:42" x14ac:dyDescent="0.2">
      <c r="A351" s="638">
        <v>42552</v>
      </c>
      <c r="B351" s="341" t="s">
        <v>137</v>
      </c>
      <c r="C351" s="351" t="s">
        <v>208</v>
      </c>
      <c r="D351" s="342">
        <v>127873.46000267001</v>
      </c>
      <c r="E351" s="342">
        <v>8618</v>
      </c>
      <c r="F351" s="342">
        <v>119255.46000267001</v>
      </c>
      <c r="G351" s="342">
        <v>79952.350064218001</v>
      </c>
      <c r="H351" s="342">
        <v>35300.100051879897</v>
      </c>
      <c r="I351" s="342">
        <v>44652.250012338198</v>
      </c>
      <c r="J351" s="342">
        <v>2262.3499994278</v>
      </c>
      <c r="K351" s="343">
        <v>77690.000064790307</v>
      </c>
      <c r="L351" s="342">
        <v>48050.419967651404</v>
      </c>
      <c r="M351" s="342">
        <v>1103.0599975585901</v>
      </c>
      <c r="N351" s="354">
        <v>727</v>
      </c>
      <c r="O351" s="343">
        <v>175.891966991293</v>
      </c>
      <c r="P351" s="343">
        <v>108.28057776817059</v>
      </c>
      <c r="Q351" s="343">
        <v>109.97572223413769</v>
      </c>
      <c r="R351" s="344">
        <v>0.62524584900219871</v>
      </c>
      <c r="S351" s="344">
        <v>1.0457079303196752</v>
      </c>
      <c r="T351" s="343">
        <v>155616.72999999998</v>
      </c>
      <c r="U351" s="342">
        <v>113585.31</v>
      </c>
      <c r="V351" s="342">
        <v>4241.6400000000003</v>
      </c>
      <c r="W351" s="344">
        <f t="shared" si="53"/>
        <v>3.7343209258309903E-2</v>
      </c>
      <c r="X351" s="342">
        <v>4777.79</v>
      </c>
      <c r="Y351" s="344">
        <f t="shared" si="54"/>
        <v>4.2063449930277073E-2</v>
      </c>
      <c r="Z351" s="342">
        <v>4795.26</v>
      </c>
      <c r="AA351" s="344">
        <f t="shared" si="47"/>
        <v>4.2217255030602113E-2</v>
      </c>
      <c r="AB351" s="342">
        <v>16019.35</v>
      </c>
      <c r="AC351" s="344">
        <f t="shared" si="55"/>
        <v>0.14103364246661826</v>
      </c>
      <c r="AD351" s="342">
        <v>42031.42</v>
      </c>
      <c r="AE351" s="342">
        <v>3243.5</v>
      </c>
      <c r="AF351" s="344">
        <f t="shared" si="48"/>
        <v>7.7168461117897047E-2</v>
      </c>
      <c r="AG351" s="342">
        <v>6571.68</v>
      </c>
      <c r="AH351" s="344">
        <f t="shared" si="49"/>
        <v>0.15635160553700067</v>
      </c>
      <c r="AI351" s="342">
        <v>3889.71</v>
      </c>
      <c r="AJ351" s="344">
        <f t="shared" si="50"/>
        <v>9.2542911945397044E-2</v>
      </c>
      <c r="AK351" s="342">
        <v>23737.99</v>
      </c>
      <c r="AL351" s="784">
        <f t="shared" si="51"/>
        <v>0.56476773803978075</v>
      </c>
      <c r="AM351" s="350">
        <v>34.183182144336278</v>
      </c>
      <c r="AN351" s="350">
        <v>26.284432489050548</v>
      </c>
      <c r="AO351" s="350">
        <v>181.91919784553235</v>
      </c>
      <c r="AP351" s="639">
        <f t="shared" si="52"/>
        <v>2.8739209516456036E-2</v>
      </c>
    </row>
    <row r="352" spans="1:42" x14ac:dyDescent="0.2">
      <c r="A352" s="638">
        <v>42583</v>
      </c>
      <c r="B352" s="341" t="s">
        <v>133</v>
      </c>
      <c r="C352" s="351" t="s">
        <v>161</v>
      </c>
      <c r="D352" s="342">
        <v>0</v>
      </c>
      <c r="E352" s="342">
        <v>0</v>
      </c>
      <c r="F352" s="342">
        <v>0</v>
      </c>
      <c r="G352" s="342">
        <v>45</v>
      </c>
      <c r="H352" s="342">
        <v>0</v>
      </c>
      <c r="I352" s="342">
        <v>45</v>
      </c>
      <c r="J352" s="342">
        <v>226.77000427246099</v>
      </c>
      <c r="K352" s="343">
        <v>-181.77000427246099</v>
      </c>
      <c r="L352" s="342">
        <v>0</v>
      </c>
      <c r="M352" s="342">
        <v>-75</v>
      </c>
      <c r="N352" s="354">
        <v>0</v>
      </c>
      <c r="O352" s="343" t="s">
        <v>311</v>
      </c>
      <c r="P352" s="343" t="s">
        <v>311</v>
      </c>
      <c r="Q352" s="343" t="s">
        <v>311</v>
      </c>
      <c r="R352" s="344" t="s">
        <v>312</v>
      </c>
      <c r="S352" s="344">
        <v>-0.29650127649212532</v>
      </c>
      <c r="T352" s="343">
        <v>-151.72</v>
      </c>
      <c r="U352" s="342">
        <v>-177.68</v>
      </c>
      <c r="V352" s="342">
        <v>0</v>
      </c>
      <c r="W352" s="344">
        <v>0</v>
      </c>
      <c r="X352" s="342">
        <v>0</v>
      </c>
      <c r="Y352" s="344">
        <f t="shared" si="54"/>
        <v>0</v>
      </c>
      <c r="Z352" s="342">
        <v>0</v>
      </c>
      <c r="AA352" s="344">
        <f t="shared" si="47"/>
        <v>0</v>
      </c>
      <c r="AB352" s="342">
        <v>-177.68</v>
      </c>
      <c r="AC352" s="344">
        <v>0</v>
      </c>
      <c r="AD352" s="342">
        <v>25.96</v>
      </c>
      <c r="AE352" s="342">
        <v>0</v>
      </c>
      <c r="AF352" s="344">
        <f t="shared" si="48"/>
        <v>0</v>
      </c>
      <c r="AG352" s="342">
        <v>0</v>
      </c>
      <c r="AH352" s="344">
        <f t="shared" si="49"/>
        <v>0</v>
      </c>
      <c r="AI352" s="342">
        <v>0</v>
      </c>
      <c r="AJ352" s="344">
        <f t="shared" si="50"/>
        <v>0</v>
      </c>
      <c r="AK352" s="342">
        <v>25.96</v>
      </c>
      <c r="AL352" s="784">
        <f t="shared" si="51"/>
        <v>1</v>
      </c>
      <c r="AM352" s="350" t="s">
        <v>313</v>
      </c>
      <c r="AN352" s="350" t="s">
        <v>313</v>
      </c>
      <c r="AO352" s="350" t="s">
        <v>313</v>
      </c>
      <c r="AP352" s="639">
        <f t="shared" si="52"/>
        <v>3.0236000569661465</v>
      </c>
    </row>
    <row r="353" spans="1:42" x14ac:dyDescent="0.2">
      <c r="A353" s="638">
        <v>42583</v>
      </c>
      <c r="B353" s="341" t="s">
        <v>133</v>
      </c>
      <c r="C353" s="351" t="s">
        <v>162</v>
      </c>
      <c r="D353" s="342">
        <v>164121.54000501501</v>
      </c>
      <c r="E353" s="342">
        <v>18534</v>
      </c>
      <c r="F353" s="342">
        <v>145587.54000501501</v>
      </c>
      <c r="G353" s="342">
        <v>105787.480106754</v>
      </c>
      <c r="H353" s="342">
        <v>47413.590006127997</v>
      </c>
      <c r="I353" s="342">
        <v>58373.890100626297</v>
      </c>
      <c r="J353" s="342">
        <v>20200.630051225398</v>
      </c>
      <c r="K353" s="343">
        <v>85586.850055528892</v>
      </c>
      <c r="L353" s="342">
        <v>43207.300068348603</v>
      </c>
      <c r="M353" s="342">
        <v>1120.9900002479601</v>
      </c>
      <c r="N353" s="354">
        <v>1104</v>
      </c>
      <c r="O353" s="343">
        <v>148.66081522193389</v>
      </c>
      <c r="P353" s="343">
        <v>108.50837856559642</v>
      </c>
      <c r="Q353" s="343">
        <v>95.82199285032091</v>
      </c>
      <c r="R353" s="344">
        <v>0.64456792267195262</v>
      </c>
      <c r="S353" s="344">
        <v>1.062202000797875</v>
      </c>
      <c r="T353" s="343">
        <v>186847.73</v>
      </c>
      <c r="U353" s="342">
        <v>136034.26</v>
      </c>
      <c r="V353" s="342">
        <v>3773.67</v>
      </c>
      <c r="W353" s="344">
        <f t="shared" si="53"/>
        <v>2.774058534960237E-2</v>
      </c>
      <c r="X353" s="342">
        <v>2376.1999999999998</v>
      </c>
      <c r="Y353" s="344">
        <f t="shared" si="54"/>
        <v>1.7467658514847655E-2</v>
      </c>
      <c r="Z353" s="342">
        <v>2857.85</v>
      </c>
      <c r="AA353" s="344">
        <f t="shared" si="47"/>
        <v>2.1008310700554401E-2</v>
      </c>
      <c r="AB353" s="342">
        <v>19061.97</v>
      </c>
      <c r="AC353" s="344">
        <f t="shared" si="55"/>
        <v>0.14012624466807111</v>
      </c>
      <c r="AD353" s="342">
        <v>50813.47</v>
      </c>
      <c r="AE353" s="342">
        <v>3724.76</v>
      </c>
      <c r="AF353" s="344">
        <f t="shared" si="48"/>
        <v>7.330261050859152E-2</v>
      </c>
      <c r="AG353" s="342">
        <v>4533.82</v>
      </c>
      <c r="AH353" s="344">
        <f t="shared" si="49"/>
        <v>8.9224766582561663E-2</v>
      </c>
      <c r="AI353" s="342">
        <v>4119.4799999999996</v>
      </c>
      <c r="AJ353" s="344">
        <f t="shared" si="50"/>
        <v>8.1070629500406083E-2</v>
      </c>
      <c r="AK353" s="342">
        <v>26721.25</v>
      </c>
      <c r="AL353" s="784">
        <f t="shared" si="51"/>
        <v>0.5258694200573194</v>
      </c>
      <c r="AM353" s="350">
        <v>34.407190148341591</v>
      </c>
      <c r="AN353" s="350">
        <v>27.230351792444072</v>
      </c>
      <c r="AO353" s="350">
        <v>116.86630634774609</v>
      </c>
      <c r="AP353" s="639">
        <f t="shared" si="52"/>
        <v>0.16862911776704531</v>
      </c>
    </row>
    <row r="354" spans="1:42" x14ac:dyDescent="0.2">
      <c r="A354" s="638">
        <v>42583</v>
      </c>
      <c r="B354" s="341" t="s">
        <v>133</v>
      </c>
      <c r="C354" s="351" t="s">
        <v>163</v>
      </c>
      <c r="D354" s="342">
        <v>0</v>
      </c>
      <c r="E354" s="342">
        <v>0</v>
      </c>
      <c r="F354" s="342">
        <v>0</v>
      </c>
      <c r="G354" s="342">
        <v>0</v>
      </c>
      <c r="H354" s="342">
        <v>0</v>
      </c>
      <c r="I354" s="342">
        <v>0</v>
      </c>
      <c r="J354" s="342">
        <v>0</v>
      </c>
      <c r="K354" s="343">
        <v>0</v>
      </c>
      <c r="L354" s="342">
        <v>0</v>
      </c>
      <c r="M354" s="342">
        <v>0</v>
      </c>
      <c r="N354" s="354">
        <v>0</v>
      </c>
      <c r="O354" s="343" t="s">
        <v>311</v>
      </c>
      <c r="P354" s="343" t="s">
        <v>311</v>
      </c>
      <c r="Q354" s="343" t="s">
        <v>311</v>
      </c>
      <c r="R354" s="344" t="s">
        <v>312</v>
      </c>
      <c r="S354" s="344" t="s">
        <v>312</v>
      </c>
      <c r="T354" s="343">
        <v>-70</v>
      </c>
      <c r="U354" s="342">
        <v>0</v>
      </c>
      <c r="V354" s="342">
        <v>0</v>
      </c>
      <c r="W354" s="344" t="str">
        <f t="shared" si="53"/>
        <v>0.00%</v>
      </c>
      <c r="X354" s="342">
        <v>0</v>
      </c>
      <c r="Y354" s="344" t="str">
        <f t="shared" si="54"/>
        <v>0.00%</v>
      </c>
      <c r="Z354" s="342">
        <v>0</v>
      </c>
      <c r="AA354" s="344">
        <f t="shared" si="47"/>
        <v>0</v>
      </c>
      <c r="AB354" s="342">
        <v>0</v>
      </c>
      <c r="AC354" s="344" t="str">
        <f t="shared" si="55"/>
        <v>0.00%</v>
      </c>
      <c r="AD354" s="342">
        <v>-70</v>
      </c>
      <c r="AE354" s="342">
        <v>0</v>
      </c>
      <c r="AF354" s="344">
        <f t="shared" si="48"/>
        <v>0</v>
      </c>
      <c r="AG354" s="342">
        <v>0</v>
      </c>
      <c r="AH354" s="344">
        <f t="shared" si="49"/>
        <v>0</v>
      </c>
      <c r="AI354" s="342">
        <v>0</v>
      </c>
      <c r="AJ354" s="344">
        <f t="shared" si="50"/>
        <v>0</v>
      </c>
      <c r="AK354" s="342">
        <v>-70</v>
      </c>
      <c r="AL354" s="784">
        <f t="shared" si="51"/>
        <v>1</v>
      </c>
      <c r="AM354" s="350" t="s">
        <v>313</v>
      </c>
      <c r="AN354" s="350" t="s">
        <v>313</v>
      </c>
      <c r="AO354" s="350" t="s">
        <v>313</v>
      </c>
      <c r="AP354" s="639" t="str">
        <f t="shared" si="52"/>
        <v>0.00%</v>
      </c>
    </row>
    <row r="355" spans="1:42" x14ac:dyDescent="0.2">
      <c r="A355" s="638">
        <v>42583</v>
      </c>
      <c r="B355" s="341" t="s">
        <v>133</v>
      </c>
      <c r="C355" s="351" t="s">
        <v>164</v>
      </c>
      <c r="D355" s="342">
        <v>173680.30000789501</v>
      </c>
      <c r="E355" s="342">
        <v>20405</v>
      </c>
      <c r="F355" s="342">
        <v>153275.30000789501</v>
      </c>
      <c r="G355" s="342">
        <v>126144.919907993</v>
      </c>
      <c r="H355" s="342">
        <v>59534.499879544601</v>
      </c>
      <c r="I355" s="342">
        <v>66610.420028448105</v>
      </c>
      <c r="J355" s="342">
        <v>18979.4099513441</v>
      </c>
      <c r="K355" s="343">
        <v>107165.5099566486</v>
      </c>
      <c r="L355" s="342">
        <v>59114.829963866599</v>
      </c>
      <c r="M355" s="342">
        <v>71.430002212524002</v>
      </c>
      <c r="N355" s="354">
        <v>964</v>
      </c>
      <c r="O355" s="343">
        <v>180.16628631524378</v>
      </c>
      <c r="P355" s="343">
        <v>118.76975108072189</v>
      </c>
      <c r="Q355" s="343">
        <v>130.85572604563558</v>
      </c>
      <c r="R355" s="344">
        <v>0.72630528564413188</v>
      </c>
      <c r="S355" s="344">
        <v>1.3206868915108376</v>
      </c>
      <c r="T355" s="343">
        <v>196712.11</v>
      </c>
      <c r="U355" s="342">
        <v>150085.34</v>
      </c>
      <c r="V355" s="342">
        <v>5782.72</v>
      </c>
      <c r="W355" s="344">
        <f t="shared" si="53"/>
        <v>3.8529545923672498E-2</v>
      </c>
      <c r="X355" s="342">
        <v>5117.92</v>
      </c>
      <c r="Y355" s="344">
        <f t="shared" si="54"/>
        <v>3.4100066002449005E-2</v>
      </c>
      <c r="Z355" s="342">
        <v>3101.24</v>
      </c>
      <c r="AA355" s="344">
        <f t="shared" si="47"/>
        <v>2.0663177362958966E-2</v>
      </c>
      <c r="AB355" s="342">
        <v>20680.34</v>
      </c>
      <c r="AC355" s="344">
        <f t="shared" si="55"/>
        <v>0.13779053970227872</v>
      </c>
      <c r="AD355" s="342">
        <v>46626.77</v>
      </c>
      <c r="AE355" s="342">
        <v>3691.13</v>
      </c>
      <c r="AF355" s="344">
        <f t="shared" si="48"/>
        <v>7.9163321842795467E-2</v>
      </c>
      <c r="AG355" s="342">
        <v>4391.4399999999996</v>
      </c>
      <c r="AH355" s="344">
        <f t="shared" si="49"/>
        <v>9.4182805285461552E-2</v>
      </c>
      <c r="AI355" s="342">
        <v>4492.01</v>
      </c>
      <c r="AJ355" s="344">
        <f t="shared" si="50"/>
        <v>9.6339720722666417E-2</v>
      </c>
      <c r="AK355" s="342">
        <v>24101.19</v>
      </c>
      <c r="AL355" s="784">
        <f t="shared" si="51"/>
        <v>0.51689598057081798</v>
      </c>
      <c r="AM355" s="350">
        <v>32.514634815810226</v>
      </c>
      <c r="AN355" s="350">
        <v>26.937241044756171</v>
      </c>
      <c r="AO355" s="350">
        <v>97.48662593504622</v>
      </c>
      <c r="AP355" s="639">
        <f t="shared" si="52"/>
        <v>0.16576766742104984</v>
      </c>
    </row>
    <row r="356" spans="1:42" x14ac:dyDescent="0.2">
      <c r="A356" s="638">
        <v>42583</v>
      </c>
      <c r="B356" s="341" t="s">
        <v>133</v>
      </c>
      <c r="C356" s="351" t="s">
        <v>165</v>
      </c>
      <c r="D356" s="342">
        <v>0</v>
      </c>
      <c r="E356" s="342">
        <v>0</v>
      </c>
      <c r="F356" s="342">
        <v>0</v>
      </c>
      <c r="G356" s="342">
        <v>0</v>
      </c>
      <c r="H356" s="342">
        <v>0</v>
      </c>
      <c r="I356" s="342">
        <v>0</v>
      </c>
      <c r="J356" s="342">
        <v>5</v>
      </c>
      <c r="K356" s="343">
        <v>-5</v>
      </c>
      <c r="L356" s="342">
        <v>0</v>
      </c>
      <c r="M356" s="342">
        <v>0</v>
      </c>
      <c r="N356" s="354">
        <v>0</v>
      </c>
      <c r="O356" s="343" t="s">
        <v>311</v>
      </c>
      <c r="P356" s="343" t="s">
        <v>311</v>
      </c>
      <c r="Q356" s="343" t="s">
        <v>311</v>
      </c>
      <c r="R356" s="344" t="s">
        <v>312</v>
      </c>
      <c r="S356" s="344">
        <v>0</v>
      </c>
      <c r="T356" s="343">
        <v>-38.61</v>
      </c>
      <c r="U356" s="342">
        <v>0</v>
      </c>
      <c r="V356" s="342">
        <v>0</v>
      </c>
      <c r="W356" s="344" t="str">
        <f t="shared" si="53"/>
        <v>0.00%</v>
      </c>
      <c r="X356" s="342">
        <v>0</v>
      </c>
      <c r="Y356" s="344" t="str">
        <f t="shared" si="54"/>
        <v>0.00%</v>
      </c>
      <c r="Z356" s="342">
        <v>0</v>
      </c>
      <c r="AA356" s="344">
        <f t="shared" si="47"/>
        <v>0</v>
      </c>
      <c r="AB356" s="342">
        <v>0</v>
      </c>
      <c r="AC356" s="344" t="str">
        <f t="shared" si="55"/>
        <v>0.00%</v>
      </c>
      <c r="AD356" s="342">
        <v>-38.61</v>
      </c>
      <c r="AE356" s="342">
        <v>0</v>
      </c>
      <c r="AF356" s="344">
        <f t="shared" si="48"/>
        <v>0</v>
      </c>
      <c r="AG356" s="342">
        <v>0</v>
      </c>
      <c r="AH356" s="344">
        <f t="shared" si="49"/>
        <v>0</v>
      </c>
      <c r="AI356" s="342">
        <v>0</v>
      </c>
      <c r="AJ356" s="344">
        <f t="shared" si="50"/>
        <v>0</v>
      </c>
      <c r="AK356" s="342">
        <v>-38.61</v>
      </c>
      <c r="AL356" s="784">
        <f t="shared" si="51"/>
        <v>1</v>
      </c>
      <c r="AM356" s="350" t="s">
        <v>313</v>
      </c>
      <c r="AN356" s="350" t="s">
        <v>313</v>
      </c>
      <c r="AO356" s="350" t="s">
        <v>313</v>
      </c>
      <c r="AP356" s="639" t="str">
        <f t="shared" si="52"/>
        <v>0.00%</v>
      </c>
    </row>
    <row r="357" spans="1:42" x14ac:dyDescent="0.2">
      <c r="A357" s="638">
        <v>42583</v>
      </c>
      <c r="B357" s="341" t="s">
        <v>133</v>
      </c>
      <c r="C357" s="351" t="s">
        <v>166</v>
      </c>
      <c r="D357" s="342">
        <v>311152.28001256502</v>
      </c>
      <c r="E357" s="342">
        <v>23764</v>
      </c>
      <c r="F357" s="342">
        <v>287388.28001256502</v>
      </c>
      <c r="G357" s="342">
        <v>208201.47002432501</v>
      </c>
      <c r="H357" s="342">
        <v>101893.999901868</v>
      </c>
      <c r="I357" s="342">
        <v>106307.470122457</v>
      </c>
      <c r="J357" s="342">
        <v>40960.300017448099</v>
      </c>
      <c r="K357" s="343">
        <v>167241.17000687693</v>
      </c>
      <c r="L357" s="342">
        <v>100473.859975966</v>
      </c>
      <c r="M357" s="342">
        <v>-1310.74999904633</v>
      </c>
      <c r="N357" s="354">
        <v>1702</v>
      </c>
      <c r="O357" s="343">
        <v>182.81567568305817</v>
      </c>
      <c r="P357" s="343">
        <v>124.55297886935685</v>
      </c>
      <c r="Q357" s="343">
        <v>122.32753820465629</v>
      </c>
      <c r="R357" s="344">
        <v>0.66913046568682499</v>
      </c>
      <c r="S357" s="344">
        <v>1.217346930972371</v>
      </c>
      <c r="T357" s="343">
        <v>350235.36</v>
      </c>
      <c r="U357" s="342">
        <v>249383.69999999995</v>
      </c>
      <c r="V357" s="342">
        <v>9844.5</v>
      </c>
      <c r="W357" s="344">
        <f t="shared" si="53"/>
        <v>3.9475314545417368E-2</v>
      </c>
      <c r="X357" s="342">
        <v>5591.49</v>
      </c>
      <c r="Y357" s="344">
        <f t="shared" si="54"/>
        <v>2.2421232823155647E-2</v>
      </c>
      <c r="Z357" s="342">
        <v>7300.58</v>
      </c>
      <c r="AA357" s="344">
        <f t="shared" si="47"/>
        <v>2.9274487466502425E-2</v>
      </c>
      <c r="AB357" s="342">
        <v>26258.21</v>
      </c>
      <c r="AC357" s="344">
        <f t="shared" si="55"/>
        <v>0.1052924068413453</v>
      </c>
      <c r="AD357" s="342">
        <v>100851.66</v>
      </c>
      <c r="AE357" s="342">
        <v>6653.54</v>
      </c>
      <c r="AF357" s="344">
        <f t="shared" si="48"/>
        <v>6.5973529835800418E-2</v>
      </c>
      <c r="AG357" s="342">
        <v>7925.94</v>
      </c>
      <c r="AH357" s="344">
        <f t="shared" si="49"/>
        <v>7.8590079726997053E-2</v>
      </c>
      <c r="AI357" s="342">
        <v>10046.709999999999</v>
      </c>
      <c r="AJ357" s="344">
        <f t="shared" si="50"/>
        <v>9.9618687486155391E-2</v>
      </c>
      <c r="AK357" s="342">
        <v>55678.84</v>
      </c>
      <c r="AL357" s="784">
        <f t="shared" si="51"/>
        <v>0.55208650011313642</v>
      </c>
      <c r="AM357" s="350">
        <v>31.58300961391463</v>
      </c>
      <c r="AN357" s="350">
        <v>23.952092298904738</v>
      </c>
      <c r="AO357" s="350">
        <v>148.83901087188232</v>
      </c>
      <c r="AP357" s="639">
        <f t="shared" si="52"/>
        <v>0.19321883287981523</v>
      </c>
    </row>
    <row r="358" spans="1:42" x14ac:dyDescent="0.2">
      <c r="A358" s="638">
        <v>42583</v>
      </c>
      <c r="B358" s="341" t="s">
        <v>133</v>
      </c>
      <c r="C358" s="351" t="s">
        <v>167</v>
      </c>
      <c r="D358" s="342">
        <v>0</v>
      </c>
      <c r="E358" s="342">
        <v>0</v>
      </c>
      <c r="F358" s="342">
        <v>0</v>
      </c>
      <c r="G358" s="342">
        <v>100</v>
      </c>
      <c r="H358" s="342">
        <v>100</v>
      </c>
      <c r="I358" s="342">
        <v>0</v>
      </c>
      <c r="J358" s="342">
        <v>307.700000762939</v>
      </c>
      <c r="K358" s="343">
        <v>-207.700000762939</v>
      </c>
      <c r="L358" s="342">
        <v>50</v>
      </c>
      <c r="M358" s="342">
        <v>-184</v>
      </c>
      <c r="N358" s="354">
        <v>0</v>
      </c>
      <c r="O358" s="343" t="s">
        <v>311</v>
      </c>
      <c r="P358" s="343" t="s">
        <v>311</v>
      </c>
      <c r="Q358" s="343" t="s">
        <v>311</v>
      </c>
      <c r="R358" s="344" t="s">
        <v>312</v>
      </c>
      <c r="S358" s="344">
        <v>-0.57570523638901572</v>
      </c>
      <c r="T358" s="343">
        <v>6439.51</v>
      </c>
      <c r="U358" s="342">
        <v>1117.18</v>
      </c>
      <c r="V358" s="342">
        <v>0</v>
      </c>
      <c r="W358" s="344">
        <f t="shared" si="53"/>
        <v>0</v>
      </c>
      <c r="X358" s="342">
        <v>0</v>
      </c>
      <c r="Y358" s="344">
        <f t="shared" si="54"/>
        <v>0</v>
      </c>
      <c r="Z358" s="342">
        <v>0</v>
      </c>
      <c r="AA358" s="344">
        <f t="shared" si="47"/>
        <v>0</v>
      </c>
      <c r="AB358" s="342">
        <v>1117.18</v>
      </c>
      <c r="AC358" s="344">
        <f t="shared" si="55"/>
        <v>1</v>
      </c>
      <c r="AD358" s="342">
        <v>5322.33</v>
      </c>
      <c r="AE358" s="342">
        <v>0</v>
      </c>
      <c r="AF358" s="344">
        <f t="shared" si="48"/>
        <v>0</v>
      </c>
      <c r="AG358" s="342">
        <v>0</v>
      </c>
      <c r="AH358" s="344">
        <f t="shared" si="49"/>
        <v>0</v>
      </c>
      <c r="AI358" s="342">
        <v>0</v>
      </c>
      <c r="AJ358" s="344">
        <f t="shared" si="50"/>
        <v>0</v>
      </c>
      <c r="AK358" s="342">
        <v>5322.33</v>
      </c>
      <c r="AL358" s="784">
        <f t="shared" si="51"/>
        <v>1</v>
      </c>
      <c r="AM358" s="350" t="s">
        <v>313</v>
      </c>
      <c r="AN358" s="350" t="s">
        <v>313</v>
      </c>
      <c r="AO358" s="350" t="s">
        <v>313</v>
      </c>
      <c r="AP358" s="639">
        <f t="shared" si="52"/>
        <v>2.2962686624099926</v>
      </c>
    </row>
    <row r="359" spans="1:42" x14ac:dyDescent="0.2">
      <c r="A359" s="638">
        <v>42583</v>
      </c>
      <c r="B359" s="341" t="s">
        <v>133</v>
      </c>
      <c r="C359" s="351" t="s">
        <v>168</v>
      </c>
      <c r="D359" s="342">
        <v>0</v>
      </c>
      <c r="E359" s="342">
        <v>0</v>
      </c>
      <c r="F359" s="342">
        <v>0</v>
      </c>
      <c r="G359" s="342">
        <v>0</v>
      </c>
      <c r="H359" s="342">
        <v>0</v>
      </c>
      <c r="I359" s="342">
        <v>0</v>
      </c>
      <c r="J359" s="342">
        <v>0</v>
      </c>
      <c r="K359" s="343">
        <v>0</v>
      </c>
      <c r="L359" s="342">
        <v>0</v>
      </c>
      <c r="M359" s="342">
        <v>0</v>
      </c>
      <c r="N359" s="354">
        <v>0</v>
      </c>
      <c r="O359" s="343" t="s">
        <v>311</v>
      </c>
      <c r="P359" s="343" t="s">
        <v>311</v>
      </c>
      <c r="Q359" s="343" t="s">
        <v>311</v>
      </c>
      <c r="R359" s="344" t="s">
        <v>312</v>
      </c>
      <c r="S359" s="344" t="s">
        <v>312</v>
      </c>
      <c r="T359" s="343">
        <v>0</v>
      </c>
      <c r="U359" s="342">
        <v>0</v>
      </c>
      <c r="V359" s="342">
        <v>0</v>
      </c>
      <c r="W359" s="344" t="str">
        <f t="shared" si="53"/>
        <v>0.00%</v>
      </c>
      <c r="X359" s="342">
        <v>0</v>
      </c>
      <c r="Y359" s="344" t="str">
        <f t="shared" si="54"/>
        <v>0.00%</v>
      </c>
      <c r="Z359" s="342">
        <v>0</v>
      </c>
      <c r="AA359" s="344">
        <f t="shared" si="47"/>
        <v>0</v>
      </c>
      <c r="AB359" s="342">
        <v>0</v>
      </c>
      <c r="AC359" s="344" t="str">
        <f t="shared" si="55"/>
        <v>0.00%</v>
      </c>
      <c r="AD359" s="342">
        <v>0</v>
      </c>
      <c r="AE359" s="342">
        <v>0</v>
      </c>
      <c r="AF359" s="344" t="str">
        <f t="shared" si="48"/>
        <v>0.00%</v>
      </c>
      <c r="AG359" s="342">
        <v>0</v>
      </c>
      <c r="AH359" s="344" t="str">
        <f t="shared" si="49"/>
        <v>0.00%</v>
      </c>
      <c r="AI359" s="342">
        <v>0</v>
      </c>
      <c r="AJ359" s="344">
        <f t="shared" si="50"/>
        <v>0</v>
      </c>
      <c r="AK359" s="342">
        <v>0</v>
      </c>
      <c r="AL359" s="784" t="str">
        <f t="shared" si="51"/>
        <v>0.00%</v>
      </c>
      <c r="AM359" s="350" t="s">
        <v>313</v>
      </c>
      <c r="AN359" s="350" t="s">
        <v>313</v>
      </c>
      <c r="AO359" s="350" t="s">
        <v>313</v>
      </c>
      <c r="AP359" s="639" t="str">
        <f t="shared" si="52"/>
        <v>0.00%</v>
      </c>
    </row>
    <row r="360" spans="1:42" x14ac:dyDescent="0.2">
      <c r="A360" s="638">
        <v>42583</v>
      </c>
      <c r="B360" s="341" t="s">
        <v>133</v>
      </c>
      <c r="C360" s="351" t="s">
        <v>169</v>
      </c>
      <c r="D360" s="342">
        <v>204354.72999963499</v>
      </c>
      <c r="E360" s="342">
        <v>20570</v>
      </c>
      <c r="F360" s="342">
        <v>183784.72999963499</v>
      </c>
      <c r="G360" s="342">
        <v>137382.74004586399</v>
      </c>
      <c r="H360" s="342">
        <v>75260.969989795194</v>
      </c>
      <c r="I360" s="342">
        <v>62121.770056068897</v>
      </c>
      <c r="J360" s="342">
        <v>20306.659993991299</v>
      </c>
      <c r="K360" s="343">
        <v>117076.08005187278</v>
      </c>
      <c r="L360" s="342">
        <v>63225.8699874878</v>
      </c>
      <c r="M360" s="342">
        <v>209.129999876022</v>
      </c>
      <c r="N360" s="354">
        <v>1364</v>
      </c>
      <c r="O360" s="343">
        <v>149.82018328418988</v>
      </c>
      <c r="P360" s="343">
        <v>103.31358505298473</v>
      </c>
      <c r="Q360" s="343">
        <v>100.72048390459243</v>
      </c>
      <c r="R360" s="344">
        <v>0.67227580220976269</v>
      </c>
      <c r="S360" s="344">
        <v>1.1390369221597845</v>
      </c>
      <c r="T360" s="343">
        <v>247246.47</v>
      </c>
      <c r="U360" s="342">
        <v>178730.53</v>
      </c>
      <c r="V360" s="342">
        <v>6438.48</v>
      </c>
      <c r="W360" s="344">
        <f t="shared" si="53"/>
        <v>3.6023392310200165E-2</v>
      </c>
      <c r="X360" s="342">
        <v>4550.5200000000004</v>
      </c>
      <c r="Y360" s="344">
        <f t="shared" si="54"/>
        <v>2.5460227751800436E-2</v>
      </c>
      <c r="Z360" s="342">
        <v>3428.97</v>
      </c>
      <c r="AA360" s="344">
        <f t="shared" si="47"/>
        <v>1.9185138655382489E-2</v>
      </c>
      <c r="AB360" s="342">
        <v>16638.310000000001</v>
      </c>
      <c r="AC360" s="344">
        <f t="shared" si="55"/>
        <v>9.3091594368348823E-2</v>
      </c>
      <c r="AD360" s="342">
        <v>68515.94</v>
      </c>
      <c r="AE360" s="342">
        <v>6969.7</v>
      </c>
      <c r="AF360" s="344">
        <f t="shared" si="48"/>
        <v>0.10172377405899999</v>
      </c>
      <c r="AG360" s="342">
        <v>4605.9399999999996</v>
      </c>
      <c r="AH360" s="344">
        <f t="shared" si="49"/>
        <v>6.7224356843093733E-2</v>
      </c>
      <c r="AI360" s="342">
        <v>5938.46</v>
      </c>
      <c r="AJ360" s="344">
        <f t="shared" si="50"/>
        <v>8.6672677919911775E-2</v>
      </c>
      <c r="AK360" s="342">
        <v>39223.71</v>
      </c>
      <c r="AL360" s="784">
        <f t="shared" si="51"/>
        <v>0.57247568959865391</v>
      </c>
      <c r="AM360" s="350">
        <v>35.427983715047816</v>
      </c>
      <c r="AN360" s="350">
        <v>27.467654134911704</v>
      </c>
      <c r="AO360" s="350">
        <v>145.19127472560467</v>
      </c>
      <c r="AP360" s="639">
        <f t="shared" si="52"/>
        <v>0.14410090050713986</v>
      </c>
    </row>
    <row r="361" spans="1:42" x14ac:dyDescent="0.2">
      <c r="A361" s="638">
        <v>42583</v>
      </c>
      <c r="B361" s="341" t="s">
        <v>133</v>
      </c>
      <c r="C361" s="351" t="s">
        <v>170</v>
      </c>
      <c r="D361" s="342">
        <v>0</v>
      </c>
      <c r="E361" s="342">
        <v>0</v>
      </c>
      <c r="F361" s="342">
        <v>0</v>
      </c>
      <c r="G361" s="342">
        <v>0</v>
      </c>
      <c r="H361" s="342">
        <v>0</v>
      </c>
      <c r="I361" s="342">
        <v>0</v>
      </c>
      <c r="J361" s="342">
        <v>0</v>
      </c>
      <c r="K361" s="343">
        <v>0</v>
      </c>
      <c r="L361" s="342">
        <v>0</v>
      </c>
      <c r="M361" s="342">
        <v>0</v>
      </c>
      <c r="N361" s="354">
        <v>0</v>
      </c>
      <c r="O361" s="343" t="s">
        <v>311</v>
      </c>
      <c r="P361" s="343" t="s">
        <v>311</v>
      </c>
      <c r="Q361" s="343" t="s">
        <v>311</v>
      </c>
      <c r="R361" s="344" t="s">
        <v>312</v>
      </c>
      <c r="S361" s="344" t="s">
        <v>312</v>
      </c>
      <c r="T361" s="343">
        <v>0</v>
      </c>
      <c r="U361" s="342">
        <v>0</v>
      </c>
      <c r="V361" s="342">
        <v>0</v>
      </c>
      <c r="W361" s="344" t="str">
        <f t="shared" si="53"/>
        <v>0.00%</v>
      </c>
      <c r="X361" s="342">
        <v>0</v>
      </c>
      <c r="Y361" s="344" t="str">
        <f t="shared" si="54"/>
        <v>0.00%</v>
      </c>
      <c r="Z361" s="342">
        <v>0</v>
      </c>
      <c r="AA361" s="344">
        <f t="shared" si="47"/>
        <v>0</v>
      </c>
      <c r="AB361" s="342">
        <v>0</v>
      </c>
      <c r="AC361" s="344" t="str">
        <f t="shared" si="55"/>
        <v>0.00%</v>
      </c>
      <c r="AD361" s="342">
        <v>0</v>
      </c>
      <c r="AE361" s="342">
        <v>0</v>
      </c>
      <c r="AF361" s="344" t="str">
        <f t="shared" si="48"/>
        <v>0.00%</v>
      </c>
      <c r="AG361" s="342">
        <v>0</v>
      </c>
      <c r="AH361" s="344" t="str">
        <f t="shared" si="49"/>
        <v>0.00%</v>
      </c>
      <c r="AI361" s="342">
        <v>0</v>
      </c>
      <c r="AJ361" s="344">
        <f t="shared" si="50"/>
        <v>0</v>
      </c>
      <c r="AK361" s="342">
        <v>0</v>
      </c>
      <c r="AL361" s="784" t="str">
        <f t="shared" si="51"/>
        <v>0.00%</v>
      </c>
      <c r="AM361" s="350" t="s">
        <v>313</v>
      </c>
      <c r="AN361" s="350" t="s">
        <v>313</v>
      </c>
      <c r="AO361" s="350" t="s">
        <v>313</v>
      </c>
      <c r="AP361" s="639" t="str">
        <f t="shared" si="52"/>
        <v>0.00%</v>
      </c>
    </row>
    <row r="362" spans="1:42" x14ac:dyDescent="0.2">
      <c r="A362" s="638">
        <v>42583</v>
      </c>
      <c r="B362" s="341" t="s">
        <v>133</v>
      </c>
      <c r="C362" s="351" t="s">
        <v>171</v>
      </c>
      <c r="D362" s="342">
        <v>211231.870003583</v>
      </c>
      <c r="E362" s="342">
        <v>26043</v>
      </c>
      <c r="F362" s="342">
        <v>185188.870003583</v>
      </c>
      <c r="G362" s="342">
        <v>141193.18002823001</v>
      </c>
      <c r="H362" s="342">
        <v>73171.549959748998</v>
      </c>
      <c r="I362" s="342">
        <v>68021.630068480998</v>
      </c>
      <c r="J362" s="342">
        <v>20080.540008861601</v>
      </c>
      <c r="K362" s="343">
        <v>121112.64001936841</v>
      </c>
      <c r="L362" s="342">
        <v>65050.110109824702</v>
      </c>
      <c r="M362" s="342">
        <v>705.88999176025402</v>
      </c>
      <c r="N362" s="354">
        <v>1600</v>
      </c>
      <c r="O362" s="343">
        <v>132.01991875223936</v>
      </c>
      <c r="P362" s="343">
        <v>90.922418688748763</v>
      </c>
      <c r="Q362" s="343">
        <v>88.245737517643761</v>
      </c>
      <c r="R362" s="344">
        <v>0.66842744906739238</v>
      </c>
      <c r="S362" s="344">
        <v>1.1259843580184103</v>
      </c>
      <c r="T362" s="343">
        <v>269042.14</v>
      </c>
      <c r="U362" s="342">
        <v>188679.87</v>
      </c>
      <c r="V362" s="342">
        <v>6394.15</v>
      </c>
      <c r="W362" s="344">
        <f t="shared" si="53"/>
        <v>3.3888882793909066E-2</v>
      </c>
      <c r="X362" s="342">
        <v>3326.1</v>
      </c>
      <c r="Y362" s="344">
        <f t="shared" si="54"/>
        <v>1.7628271632792625E-2</v>
      </c>
      <c r="Z362" s="342">
        <v>5022.8500000000004</v>
      </c>
      <c r="AA362" s="344">
        <f t="shared" si="47"/>
        <v>2.6621016857813186E-2</v>
      </c>
      <c r="AB362" s="342">
        <v>25672.959999999999</v>
      </c>
      <c r="AC362" s="344">
        <f t="shared" si="55"/>
        <v>0.13606623748468769</v>
      </c>
      <c r="AD362" s="342">
        <v>80362.27</v>
      </c>
      <c r="AE362" s="342">
        <v>7244.52</v>
      </c>
      <c r="AF362" s="344">
        <f t="shared" si="48"/>
        <v>9.0148274806075041E-2</v>
      </c>
      <c r="AG362" s="342">
        <v>6943.35</v>
      </c>
      <c r="AH362" s="344">
        <f t="shared" si="49"/>
        <v>8.6400620589736951E-2</v>
      </c>
      <c r="AI362" s="342">
        <v>6796.54</v>
      </c>
      <c r="AJ362" s="344">
        <f t="shared" si="50"/>
        <v>8.4573768262145896E-2</v>
      </c>
      <c r="AK362" s="342">
        <v>45193.86</v>
      </c>
      <c r="AL362" s="784">
        <f t="shared" si="51"/>
        <v>0.56237659787360406</v>
      </c>
      <c r="AM362" s="350">
        <v>36.004884119665221</v>
      </c>
      <c r="AN362" s="350">
        <v>27.47200053971812</v>
      </c>
      <c r="AO362" s="350">
        <v>132.98406420651995</v>
      </c>
      <c r="AP362" s="639">
        <f t="shared" si="52"/>
        <v>0.13803347608362235</v>
      </c>
    </row>
    <row r="363" spans="1:42" x14ac:dyDescent="0.2">
      <c r="A363" s="638">
        <v>42583</v>
      </c>
      <c r="B363" s="341" t="s">
        <v>133</v>
      </c>
      <c r="C363" s="351" t="s">
        <v>172</v>
      </c>
      <c r="D363" s="342">
        <v>0</v>
      </c>
      <c r="E363" s="342">
        <v>0</v>
      </c>
      <c r="F363" s="342">
        <v>0</v>
      </c>
      <c r="G363" s="342">
        <v>0</v>
      </c>
      <c r="H363" s="342">
        <v>0</v>
      </c>
      <c r="I363" s="342">
        <v>0</v>
      </c>
      <c r="J363" s="342">
        <v>0</v>
      </c>
      <c r="K363" s="343">
        <v>0</v>
      </c>
      <c r="L363" s="342">
        <v>0</v>
      </c>
      <c r="M363" s="342">
        <v>0</v>
      </c>
      <c r="N363" s="354">
        <v>0</v>
      </c>
      <c r="O363" s="343" t="s">
        <v>311</v>
      </c>
      <c r="P363" s="343" t="s">
        <v>311</v>
      </c>
      <c r="Q363" s="343" t="s">
        <v>311</v>
      </c>
      <c r="R363" s="344" t="s">
        <v>312</v>
      </c>
      <c r="S363" s="344" t="s">
        <v>312</v>
      </c>
      <c r="T363" s="343">
        <v>0</v>
      </c>
      <c r="U363" s="342">
        <v>0</v>
      </c>
      <c r="V363" s="342">
        <v>0</v>
      </c>
      <c r="W363" s="344" t="str">
        <f t="shared" si="53"/>
        <v>0.00%</v>
      </c>
      <c r="X363" s="342">
        <v>0</v>
      </c>
      <c r="Y363" s="344" t="str">
        <f t="shared" si="54"/>
        <v>0.00%</v>
      </c>
      <c r="Z363" s="342">
        <v>0</v>
      </c>
      <c r="AA363" s="344">
        <f t="shared" si="47"/>
        <v>0</v>
      </c>
      <c r="AB363" s="342">
        <v>0</v>
      </c>
      <c r="AC363" s="344" t="str">
        <f t="shared" si="55"/>
        <v>0.00%</v>
      </c>
      <c r="AD363" s="342">
        <v>0</v>
      </c>
      <c r="AE363" s="342">
        <v>0</v>
      </c>
      <c r="AF363" s="344" t="str">
        <f t="shared" si="48"/>
        <v>0.00%</v>
      </c>
      <c r="AG363" s="342">
        <v>0</v>
      </c>
      <c r="AH363" s="344" t="str">
        <f t="shared" si="49"/>
        <v>0.00%</v>
      </c>
      <c r="AI363" s="342">
        <v>0</v>
      </c>
      <c r="AJ363" s="344">
        <f t="shared" si="50"/>
        <v>0</v>
      </c>
      <c r="AK363" s="342">
        <v>0</v>
      </c>
      <c r="AL363" s="784" t="str">
        <f t="shared" si="51"/>
        <v>0.00%</v>
      </c>
      <c r="AM363" s="350" t="s">
        <v>313</v>
      </c>
      <c r="AN363" s="350" t="s">
        <v>313</v>
      </c>
      <c r="AO363" s="350" t="s">
        <v>313</v>
      </c>
      <c r="AP363" s="639" t="str">
        <f t="shared" si="52"/>
        <v>0.00%</v>
      </c>
    </row>
    <row r="364" spans="1:42" x14ac:dyDescent="0.2">
      <c r="A364" s="638">
        <v>42583</v>
      </c>
      <c r="B364" s="341" t="s">
        <v>133</v>
      </c>
      <c r="C364" s="351" t="s">
        <v>173</v>
      </c>
      <c r="D364" s="342">
        <v>202922.050010217</v>
      </c>
      <c r="E364" s="342">
        <v>25365</v>
      </c>
      <c r="F364" s="342">
        <v>177557.050010217</v>
      </c>
      <c r="G364" s="342">
        <v>143739.219990171</v>
      </c>
      <c r="H364" s="342">
        <v>71398.059909112795</v>
      </c>
      <c r="I364" s="342">
        <v>72341.160081058697</v>
      </c>
      <c r="J364" s="342">
        <v>23056.739987213201</v>
      </c>
      <c r="K364" s="343">
        <v>120682.4800029583</v>
      </c>
      <c r="L364" s="342">
        <v>64663.830062577501</v>
      </c>
      <c r="M364" s="342">
        <v>30.719998136162001</v>
      </c>
      <c r="N364" s="354">
        <v>1433</v>
      </c>
      <c r="O364" s="343">
        <v>141.60645499666225</v>
      </c>
      <c r="P364" s="343">
        <v>96.460223272507562</v>
      </c>
      <c r="Q364" s="343">
        <v>100.30650383124319</v>
      </c>
      <c r="R364" s="344">
        <v>0.70834697354444387</v>
      </c>
      <c r="S364" s="344">
        <v>1.2480530651810875</v>
      </c>
      <c r="T364" s="343">
        <v>298886.12</v>
      </c>
      <c r="U364" s="342">
        <v>203347.09</v>
      </c>
      <c r="V364" s="342">
        <v>9471.2000000000007</v>
      </c>
      <c r="W364" s="344">
        <f t="shared" si="53"/>
        <v>4.6576520962262113E-2</v>
      </c>
      <c r="X364" s="342">
        <v>8868.68</v>
      </c>
      <c r="Y364" s="344">
        <f t="shared" si="54"/>
        <v>4.3613508312314676E-2</v>
      </c>
      <c r="Z364" s="342">
        <v>5046.3100000000004</v>
      </c>
      <c r="AA364" s="344">
        <f t="shared" si="47"/>
        <v>2.4816239071825421E-2</v>
      </c>
      <c r="AB364" s="342">
        <v>26389.23</v>
      </c>
      <c r="AC364" s="344">
        <f t="shared" si="55"/>
        <v>0.12977431838341036</v>
      </c>
      <c r="AD364" s="342">
        <v>95539.03</v>
      </c>
      <c r="AE364" s="342">
        <v>8071.96</v>
      </c>
      <c r="AF364" s="344">
        <f t="shared" si="48"/>
        <v>8.4488611617681272E-2</v>
      </c>
      <c r="AG364" s="342">
        <v>9391.49</v>
      </c>
      <c r="AH364" s="344">
        <f t="shared" si="49"/>
        <v>9.8300035074670528E-2</v>
      </c>
      <c r="AI364" s="342">
        <v>9412.31</v>
      </c>
      <c r="AJ364" s="344">
        <f t="shared" si="50"/>
        <v>9.8517956483334612E-2</v>
      </c>
      <c r="AK364" s="342">
        <v>54427.42</v>
      </c>
      <c r="AL364" s="784">
        <f t="shared" si="51"/>
        <v>0.56968780193811885</v>
      </c>
      <c r="AM364" s="350">
        <v>40.293853058773877</v>
      </c>
      <c r="AN364" s="350">
        <v>30.312085533807846</v>
      </c>
      <c r="AO364" s="350">
        <v>134.71169374422286</v>
      </c>
      <c r="AP364" s="639">
        <f t="shared" si="52"/>
        <v>0.16680284310745827</v>
      </c>
    </row>
    <row r="365" spans="1:42" x14ac:dyDescent="0.2">
      <c r="A365" s="638">
        <v>42583</v>
      </c>
      <c r="B365" s="341" t="s">
        <v>133</v>
      </c>
      <c r="C365" s="351" t="s">
        <v>174</v>
      </c>
      <c r="D365" s="342">
        <v>151037.140009075</v>
      </c>
      <c r="E365" s="342">
        <v>10142</v>
      </c>
      <c r="F365" s="342">
        <v>140895.140009075</v>
      </c>
      <c r="G365" s="342">
        <v>88960.320012450204</v>
      </c>
      <c r="H365" s="342">
        <v>47547.6099533737</v>
      </c>
      <c r="I365" s="342">
        <v>41412.710059076497</v>
      </c>
      <c r="J365" s="342">
        <v>12079.5100027919</v>
      </c>
      <c r="K365" s="343">
        <v>76880.810009658293</v>
      </c>
      <c r="L365" s="342">
        <v>45809.400028973803</v>
      </c>
      <c r="M365" s="342">
        <v>-244.45000314712499</v>
      </c>
      <c r="N365" s="354">
        <v>834</v>
      </c>
      <c r="O365" s="343">
        <v>181.09968826028177</v>
      </c>
      <c r="P365" s="343">
        <v>126.46545561540566</v>
      </c>
      <c r="Q365" s="343">
        <v>106.66705037464051</v>
      </c>
      <c r="R365" s="344">
        <v>0.58899632240854827</v>
      </c>
      <c r="S365" s="344">
        <v>0.9525406062987618</v>
      </c>
      <c r="T365" s="343">
        <v>201617.75</v>
      </c>
      <c r="U365" s="342">
        <v>137593.82</v>
      </c>
      <c r="V365" s="342">
        <v>4308.8500000000004</v>
      </c>
      <c r="W365" s="344">
        <f t="shared" si="53"/>
        <v>3.1315723336992896E-2</v>
      </c>
      <c r="X365" s="342">
        <v>4430.3999999999996</v>
      </c>
      <c r="Y365" s="344">
        <f t="shared" si="54"/>
        <v>3.21991205709675E-2</v>
      </c>
      <c r="Z365" s="342">
        <v>4026.87</v>
      </c>
      <c r="AA365" s="344">
        <f t="shared" si="47"/>
        <v>2.9266358038464224E-2</v>
      </c>
      <c r="AB365" s="342">
        <v>12991.33</v>
      </c>
      <c r="AC365" s="344">
        <f t="shared" si="55"/>
        <v>9.4417976039912255E-2</v>
      </c>
      <c r="AD365" s="342">
        <v>64023.93</v>
      </c>
      <c r="AE365" s="342">
        <v>3671.56</v>
      </c>
      <c r="AF365" s="344">
        <f t="shared" si="48"/>
        <v>5.7346682716915377E-2</v>
      </c>
      <c r="AG365" s="342">
        <v>6930.11</v>
      </c>
      <c r="AH365" s="344">
        <f t="shared" si="49"/>
        <v>0.10824249620415366</v>
      </c>
      <c r="AI365" s="342">
        <v>6191.39</v>
      </c>
      <c r="AJ365" s="344">
        <f t="shared" si="50"/>
        <v>9.6704310403938037E-2</v>
      </c>
      <c r="AK365" s="342">
        <v>34784.080000000002</v>
      </c>
      <c r="AL365" s="784">
        <f t="shared" si="51"/>
        <v>0.54329810744201423</v>
      </c>
      <c r="AM365" s="350">
        <v>40.4749162912156</v>
      </c>
      <c r="AN365" s="350">
        <v>29.574231585072365</v>
      </c>
      <c r="AO365" s="350">
        <v>194.71340181799749</v>
      </c>
      <c r="AP365" s="639">
        <f t="shared" si="52"/>
        <v>0.11452791493862444</v>
      </c>
    </row>
    <row r="366" spans="1:42" x14ac:dyDescent="0.2">
      <c r="A366" s="638">
        <v>42583</v>
      </c>
      <c r="B366" s="341" t="s">
        <v>133</v>
      </c>
      <c r="C366" s="351" t="s">
        <v>175</v>
      </c>
      <c r="D366" s="342">
        <v>0</v>
      </c>
      <c r="E366" s="342">
        <v>0</v>
      </c>
      <c r="F366" s="342">
        <v>0</v>
      </c>
      <c r="G366" s="342">
        <v>177.339998245239</v>
      </c>
      <c r="H366" s="342">
        <v>-23.229997634886999</v>
      </c>
      <c r="I366" s="342">
        <v>200.56999588012701</v>
      </c>
      <c r="J366" s="342">
        <v>305.24999618530302</v>
      </c>
      <c r="K366" s="343">
        <v>-127.90999794006302</v>
      </c>
      <c r="L366" s="342">
        <v>1.639999985694</v>
      </c>
      <c r="M366" s="342">
        <v>-99.469997406005007</v>
      </c>
      <c r="N366" s="354">
        <v>0</v>
      </c>
      <c r="O366" s="343" t="s">
        <v>311</v>
      </c>
      <c r="P366" s="343" t="s">
        <v>311</v>
      </c>
      <c r="Q366" s="343" t="s">
        <v>311</v>
      </c>
      <c r="R366" s="344" t="s">
        <v>312</v>
      </c>
      <c r="S366" s="344">
        <v>-0.85498022997371226</v>
      </c>
      <c r="T366" s="343">
        <v>7347.04</v>
      </c>
      <c r="U366" s="342">
        <v>792.97</v>
      </c>
      <c r="V366" s="342">
        <v>0</v>
      </c>
      <c r="W366" s="344">
        <f t="shared" si="53"/>
        <v>0</v>
      </c>
      <c r="X366" s="342">
        <v>0</v>
      </c>
      <c r="Y366" s="344">
        <f t="shared" si="54"/>
        <v>0</v>
      </c>
      <c r="Z366" s="342">
        <v>0</v>
      </c>
      <c r="AA366" s="344">
        <f t="shared" si="47"/>
        <v>0</v>
      </c>
      <c r="AB366" s="342">
        <v>792.97</v>
      </c>
      <c r="AC366" s="344">
        <f t="shared" si="55"/>
        <v>1</v>
      </c>
      <c r="AD366" s="342">
        <v>6554.07</v>
      </c>
      <c r="AE366" s="342">
        <v>0</v>
      </c>
      <c r="AF366" s="344">
        <f t="shared" si="48"/>
        <v>0</v>
      </c>
      <c r="AG366" s="342">
        <v>0</v>
      </c>
      <c r="AH366" s="344">
        <f t="shared" si="49"/>
        <v>0</v>
      </c>
      <c r="AI366" s="342">
        <v>0</v>
      </c>
      <c r="AJ366" s="344">
        <f t="shared" si="50"/>
        <v>0</v>
      </c>
      <c r="AK366" s="342">
        <v>6554.07</v>
      </c>
      <c r="AL366" s="784">
        <f t="shared" si="51"/>
        <v>1</v>
      </c>
      <c r="AM366" s="350" t="s">
        <v>313</v>
      </c>
      <c r="AN366" s="350" t="s">
        <v>313</v>
      </c>
      <c r="AO366" s="350" t="s">
        <v>313</v>
      </c>
      <c r="AP366" s="639">
        <f t="shared" si="52"/>
        <v>3.1202085682763032</v>
      </c>
    </row>
    <row r="367" spans="1:42" x14ac:dyDescent="0.2">
      <c r="A367" s="638">
        <v>42583</v>
      </c>
      <c r="B367" s="341" t="s">
        <v>133</v>
      </c>
      <c r="C367" s="351" t="s">
        <v>176</v>
      </c>
      <c r="D367" s="342">
        <v>0</v>
      </c>
      <c r="E367" s="342">
        <v>0</v>
      </c>
      <c r="F367" s="342">
        <v>0</v>
      </c>
      <c r="G367" s="342">
        <v>0</v>
      </c>
      <c r="H367" s="342">
        <v>0</v>
      </c>
      <c r="I367" s="342">
        <v>0</v>
      </c>
      <c r="J367" s="342">
        <v>0</v>
      </c>
      <c r="K367" s="343">
        <v>0</v>
      </c>
      <c r="L367" s="342">
        <v>0</v>
      </c>
      <c r="M367" s="342">
        <v>0</v>
      </c>
      <c r="N367" s="354">
        <v>0</v>
      </c>
      <c r="O367" s="343" t="s">
        <v>311</v>
      </c>
      <c r="P367" s="343" t="s">
        <v>311</v>
      </c>
      <c r="Q367" s="343" t="s">
        <v>311</v>
      </c>
      <c r="R367" s="344" t="s">
        <v>312</v>
      </c>
      <c r="S367" s="344" t="s">
        <v>312</v>
      </c>
      <c r="T367" s="343">
        <v>0</v>
      </c>
      <c r="U367" s="342">
        <v>0</v>
      </c>
      <c r="V367" s="342">
        <v>0</v>
      </c>
      <c r="W367" s="344" t="str">
        <f t="shared" si="53"/>
        <v>0.00%</v>
      </c>
      <c r="X367" s="342">
        <v>0</v>
      </c>
      <c r="Y367" s="344" t="str">
        <f t="shared" si="54"/>
        <v>0.00%</v>
      </c>
      <c r="Z367" s="342">
        <v>0</v>
      </c>
      <c r="AA367" s="344">
        <f t="shared" si="47"/>
        <v>0</v>
      </c>
      <c r="AB367" s="342">
        <v>0</v>
      </c>
      <c r="AC367" s="344" t="str">
        <f t="shared" si="55"/>
        <v>0.00%</v>
      </c>
      <c r="AD367" s="342">
        <v>0</v>
      </c>
      <c r="AE367" s="342">
        <v>0</v>
      </c>
      <c r="AF367" s="344" t="str">
        <f t="shared" si="48"/>
        <v>0.00%</v>
      </c>
      <c r="AG367" s="342">
        <v>0</v>
      </c>
      <c r="AH367" s="344" t="str">
        <f t="shared" si="49"/>
        <v>0.00%</v>
      </c>
      <c r="AI367" s="342">
        <v>0</v>
      </c>
      <c r="AJ367" s="344">
        <f t="shared" si="50"/>
        <v>0</v>
      </c>
      <c r="AK367" s="342">
        <v>0</v>
      </c>
      <c r="AL367" s="784" t="str">
        <f t="shared" si="51"/>
        <v>0.00%</v>
      </c>
      <c r="AM367" s="350" t="s">
        <v>313</v>
      </c>
      <c r="AN367" s="350" t="s">
        <v>313</v>
      </c>
      <c r="AO367" s="350" t="s">
        <v>313</v>
      </c>
      <c r="AP367" s="639" t="str">
        <f t="shared" si="52"/>
        <v>0.00%</v>
      </c>
    </row>
    <row r="368" spans="1:42" x14ac:dyDescent="0.2">
      <c r="A368" s="638">
        <v>42583</v>
      </c>
      <c r="B368" s="341" t="s">
        <v>133</v>
      </c>
      <c r="C368" s="351" t="s">
        <v>177</v>
      </c>
      <c r="D368" s="342">
        <v>131638.900006065</v>
      </c>
      <c r="E368" s="342">
        <v>11867</v>
      </c>
      <c r="F368" s="342">
        <v>119771.900006065</v>
      </c>
      <c r="G368" s="342">
        <v>86057.829998970003</v>
      </c>
      <c r="H368" s="342">
        <v>37141.079926490798</v>
      </c>
      <c r="I368" s="342">
        <v>48916.750072479197</v>
      </c>
      <c r="J368" s="342">
        <v>19405.7400392294</v>
      </c>
      <c r="K368" s="343">
        <v>66652.08995974061</v>
      </c>
      <c r="L368" s="342">
        <v>40086.319975623897</v>
      </c>
      <c r="M368" s="342">
        <v>-295.46999931335398</v>
      </c>
      <c r="N368" s="354">
        <v>708</v>
      </c>
      <c r="O368" s="343">
        <v>185.9306497260805</v>
      </c>
      <c r="P368" s="343">
        <v>129.72888422281704</v>
      </c>
      <c r="Q368" s="343">
        <v>121.55060734317797</v>
      </c>
      <c r="R368" s="344">
        <v>0.6537416371225</v>
      </c>
      <c r="S368" s="344">
        <v>1.1879498322213322</v>
      </c>
      <c r="T368" s="343">
        <v>135474.34</v>
      </c>
      <c r="U368" s="342">
        <v>102083.85999999999</v>
      </c>
      <c r="V368" s="342">
        <v>2149.65</v>
      </c>
      <c r="W368" s="344">
        <f t="shared" si="53"/>
        <v>2.1057687277890945E-2</v>
      </c>
      <c r="X368" s="342">
        <v>3866.95</v>
      </c>
      <c r="Y368" s="344">
        <f t="shared" si="54"/>
        <v>3.7880131100058327E-2</v>
      </c>
      <c r="Z368" s="342">
        <v>804.27</v>
      </c>
      <c r="AA368" s="344">
        <f t="shared" si="47"/>
        <v>7.8785226185608594E-3</v>
      </c>
      <c r="AB368" s="342">
        <v>14582.23</v>
      </c>
      <c r="AC368" s="344">
        <f t="shared" si="55"/>
        <v>0.14284559772720196</v>
      </c>
      <c r="AD368" s="342">
        <v>33390.480000000003</v>
      </c>
      <c r="AE368" s="342">
        <v>4379.87</v>
      </c>
      <c r="AF368" s="344">
        <f t="shared" si="48"/>
        <v>0.13117122006032855</v>
      </c>
      <c r="AG368" s="342">
        <v>3490.18</v>
      </c>
      <c r="AH368" s="344">
        <f t="shared" si="49"/>
        <v>0.10452620028223612</v>
      </c>
      <c r="AI368" s="342">
        <v>3100.78</v>
      </c>
      <c r="AJ368" s="344">
        <f t="shared" si="50"/>
        <v>9.2864193626446823E-2</v>
      </c>
      <c r="AK368" s="342">
        <v>14655.2</v>
      </c>
      <c r="AL368" s="784">
        <f t="shared" si="51"/>
        <v>0.43890354376457003</v>
      </c>
      <c r="AM368" s="350">
        <f>IFERROR(T368/(D368+D318+D268)*90,"0.00")</f>
        <v>33.07860811133515</v>
      </c>
      <c r="AN368" s="350">
        <f>IFERROR(U368/(F368+F318+F268)*90,"0.00")</f>
        <v>26.692045112899045</v>
      </c>
      <c r="AO368" s="350">
        <f>IFERROR(AD368/(E368+E318+E268)*90,"0.00")</f>
        <v>123.20200065595277</v>
      </c>
      <c r="AP368" s="639">
        <f t="shared" si="52"/>
        <v>0.21128091486910011</v>
      </c>
    </row>
    <row r="369" spans="1:42" x14ac:dyDescent="0.2">
      <c r="A369" s="638">
        <v>42583</v>
      </c>
      <c r="B369" s="341" t="s">
        <v>134</v>
      </c>
      <c r="C369" s="351" t="s">
        <v>178</v>
      </c>
      <c r="D369" s="342">
        <v>593761.53044378699</v>
      </c>
      <c r="E369" s="342">
        <v>28984.19000244141</v>
      </c>
      <c r="F369" s="342">
        <v>564777.34044134605</v>
      </c>
      <c r="G369" s="342">
        <v>443124.27939572523</v>
      </c>
      <c r="H369" s="342">
        <v>276867.74951663252</v>
      </c>
      <c r="I369" s="342">
        <v>166256.52987909268</v>
      </c>
      <c r="J369" s="342">
        <v>84204.109999304594</v>
      </c>
      <c r="K369" s="343">
        <v>358920.16939642065</v>
      </c>
      <c r="L369" s="342">
        <v>195925.39010537401</v>
      </c>
      <c r="M369" s="342">
        <v>11672.430011749271</v>
      </c>
      <c r="N369" s="354">
        <v>2944</v>
      </c>
      <c r="O369" s="343">
        <v>201.68530246052563</v>
      </c>
      <c r="P369" s="343">
        <v>131.16973856204623</v>
      </c>
      <c r="Q369" s="343">
        <v>150.51775794691753</v>
      </c>
      <c r="R369" s="344">
        <v>0.7463000829045402</v>
      </c>
      <c r="S369" s="344">
        <v>1.4674952507399222</v>
      </c>
      <c r="T369" s="343">
        <v>688896.2</v>
      </c>
      <c r="U369" s="342">
        <v>552004.91</v>
      </c>
      <c r="V369" s="342">
        <v>21749.1</v>
      </c>
      <c r="W369" s="344">
        <f t="shared" si="53"/>
        <v>3.940019301639907E-2</v>
      </c>
      <c r="X369" s="342">
        <v>11458.81</v>
      </c>
      <c r="Y369" s="344">
        <f t="shared" si="54"/>
        <v>2.0758529122503637E-2</v>
      </c>
      <c r="Z369" s="342">
        <v>10541.93</v>
      </c>
      <c r="AA369" s="344">
        <f t="shared" si="47"/>
        <v>1.9097529404222147E-2</v>
      </c>
      <c r="AB369" s="342">
        <v>27144.879999999997</v>
      </c>
      <c r="AC369" s="344">
        <f t="shared" si="55"/>
        <v>4.9175069837694006E-2</v>
      </c>
      <c r="AD369" s="342">
        <v>136891.28999999998</v>
      </c>
      <c r="AE369" s="342">
        <v>14409.75</v>
      </c>
      <c r="AF369" s="344">
        <f t="shared" si="48"/>
        <v>0.1052641844488426</v>
      </c>
      <c r="AG369" s="342">
        <v>12341.03</v>
      </c>
      <c r="AH369" s="344">
        <f t="shared" si="49"/>
        <v>9.0152046927163901E-2</v>
      </c>
      <c r="AI369" s="342">
        <v>13602.310000000001</v>
      </c>
      <c r="AJ369" s="344">
        <f t="shared" si="50"/>
        <v>9.9365781416772408E-2</v>
      </c>
      <c r="AK369" s="342">
        <v>46413.289999999994</v>
      </c>
      <c r="AL369" s="784">
        <f t="shared" si="51"/>
        <v>0.33905217782665353</v>
      </c>
      <c r="AM369" s="350">
        <f>IFERROR(T369/(D369+D319+D269)*90,"0.00")</f>
        <v>34.03488809893998</v>
      </c>
      <c r="AN369" s="350">
        <f>IFERROR(U369/(F369+F319+F269)*90,"0.00")</f>
        <v>28.442062414213432</v>
      </c>
      <c r="AO369" s="350">
        <f>IFERROR(AD369/(E369+E319+E269)*90,"0.00")</f>
        <v>164.36775224769238</v>
      </c>
      <c r="AP369" s="639">
        <f t="shared" si="52"/>
        <v>0.21805288210037818</v>
      </c>
    </row>
    <row r="370" spans="1:42" x14ac:dyDescent="0.2">
      <c r="A370" s="638">
        <v>42583</v>
      </c>
      <c r="B370" s="341" t="s">
        <v>135</v>
      </c>
      <c r="C370" s="351" t="s">
        <v>181</v>
      </c>
      <c r="D370" s="342">
        <v>109158.98000122</v>
      </c>
      <c r="E370" s="342">
        <v>13776</v>
      </c>
      <c r="F370" s="342">
        <v>95382.980001220494</v>
      </c>
      <c r="G370" s="342">
        <v>63693.850359916702</v>
      </c>
      <c r="H370" s="342">
        <v>29926.350247383099</v>
      </c>
      <c r="I370" s="342">
        <v>33767.500112533598</v>
      </c>
      <c r="J370" s="342">
        <v>11282.3700377736</v>
      </c>
      <c r="K370" s="343">
        <v>52411.480322143099</v>
      </c>
      <c r="L370" s="342">
        <v>34720.189737319903</v>
      </c>
      <c r="M370" s="342">
        <v>348.78999328613298</v>
      </c>
      <c r="N370" s="354">
        <v>964</v>
      </c>
      <c r="O370" s="343">
        <v>113.23545643280134</v>
      </c>
      <c r="P370" s="343">
        <v>76.856846753749437</v>
      </c>
      <c r="Q370" s="343">
        <v>66.072458879581646</v>
      </c>
      <c r="R370" s="344">
        <v>0.58349620305360628</v>
      </c>
      <c r="S370" s="344">
        <v>1.0141100710819759</v>
      </c>
      <c r="T370" s="343">
        <v>112768.91</v>
      </c>
      <c r="U370" s="342">
        <v>81085.53</v>
      </c>
      <c r="V370" s="342">
        <v>4338.04</v>
      </c>
      <c r="W370" s="344">
        <f t="shared" si="53"/>
        <v>5.3499557812596153E-2</v>
      </c>
      <c r="X370" s="342">
        <v>776</v>
      </c>
      <c r="Y370" s="344">
        <f t="shared" si="54"/>
        <v>9.5701415529996538E-3</v>
      </c>
      <c r="Z370" s="342">
        <v>2213.5700000000002</v>
      </c>
      <c r="AA370" s="344">
        <f t="shared" si="47"/>
        <v>2.7299198759630727E-2</v>
      </c>
      <c r="AB370" s="342">
        <v>6592.08</v>
      </c>
      <c r="AC370" s="344">
        <f t="shared" si="55"/>
        <v>8.129785918646644E-2</v>
      </c>
      <c r="AD370" s="342">
        <v>31683.38</v>
      </c>
      <c r="AE370" s="342">
        <v>1705.55</v>
      </c>
      <c r="AF370" s="344">
        <f t="shared" si="48"/>
        <v>5.3831062216215565E-2</v>
      </c>
      <c r="AG370" s="342">
        <v>1096.6500000000001</v>
      </c>
      <c r="AH370" s="344">
        <f t="shared" si="49"/>
        <v>3.461278436833444E-2</v>
      </c>
      <c r="AI370" s="342">
        <v>1786.34</v>
      </c>
      <c r="AJ370" s="344">
        <f t="shared" si="50"/>
        <v>5.6380979554580345E-2</v>
      </c>
      <c r="AK370" s="342">
        <v>18044.45</v>
      </c>
      <c r="AL370" s="784">
        <f t="shared" si="51"/>
        <v>0.56952414799178619</v>
      </c>
      <c r="AM370" s="350">
        <v>33.100517510551263</v>
      </c>
      <c r="AN370" s="350">
        <v>26.074695699428649</v>
      </c>
      <c r="AO370" s="350">
        <v>106.63416476571557</v>
      </c>
      <c r="AP370" s="639">
        <f t="shared" si="52"/>
        <v>0.15227925491381708</v>
      </c>
    </row>
    <row r="371" spans="1:42" x14ac:dyDescent="0.2">
      <c r="A371" s="638">
        <v>42583</v>
      </c>
      <c r="B371" s="341" t="s">
        <v>135</v>
      </c>
      <c r="C371" s="351" t="s">
        <v>182</v>
      </c>
      <c r="D371" s="342">
        <v>0</v>
      </c>
      <c r="E371" s="342">
        <v>0</v>
      </c>
      <c r="F371" s="342">
        <v>0</v>
      </c>
      <c r="G371" s="342">
        <v>0</v>
      </c>
      <c r="H371" s="342">
        <v>0</v>
      </c>
      <c r="I371" s="342">
        <v>0</v>
      </c>
      <c r="J371" s="342">
        <v>20</v>
      </c>
      <c r="K371" s="343">
        <v>-20</v>
      </c>
      <c r="L371" s="342">
        <v>0</v>
      </c>
      <c r="M371" s="342">
        <v>-20</v>
      </c>
      <c r="N371" s="354">
        <v>0</v>
      </c>
      <c r="O371" s="343" t="s">
        <v>311</v>
      </c>
      <c r="P371" s="343" t="s">
        <v>311</v>
      </c>
      <c r="Q371" s="343" t="s">
        <v>311</v>
      </c>
      <c r="R371" s="344" t="s">
        <v>312</v>
      </c>
      <c r="S371" s="344" t="s">
        <v>312</v>
      </c>
      <c r="T371" s="343">
        <v>-123.58</v>
      </c>
      <c r="U371" s="342">
        <v>-123.58</v>
      </c>
      <c r="V371" s="342">
        <v>0</v>
      </c>
      <c r="W371" s="344">
        <v>0</v>
      </c>
      <c r="X371" s="342">
        <v>0</v>
      </c>
      <c r="Y371" s="344">
        <f t="shared" si="54"/>
        <v>0</v>
      </c>
      <c r="Z371" s="342">
        <v>0</v>
      </c>
      <c r="AA371" s="344">
        <f t="shared" si="47"/>
        <v>0</v>
      </c>
      <c r="AB371" s="342">
        <v>-123.58</v>
      </c>
      <c r="AC371" s="344">
        <v>0</v>
      </c>
      <c r="AD371" s="342">
        <v>0</v>
      </c>
      <c r="AE371" s="342">
        <v>0</v>
      </c>
      <c r="AF371" s="344" t="str">
        <f t="shared" si="48"/>
        <v>0.00%</v>
      </c>
      <c r="AG371" s="342">
        <v>0</v>
      </c>
      <c r="AH371" s="344" t="str">
        <f t="shared" si="49"/>
        <v>0.00%</v>
      </c>
      <c r="AI371" s="342">
        <v>0</v>
      </c>
      <c r="AJ371" s="344">
        <f t="shared" si="50"/>
        <v>0</v>
      </c>
      <c r="AK371" s="342">
        <v>0</v>
      </c>
      <c r="AL371" s="784" t="str">
        <f t="shared" si="51"/>
        <v>0.00%</v>
      </c>
      <c r="AM371" s="350" t="s">
        <v>313</v>
      </c>
      <c r="AN371" s="350" t="s">
        <v>313</v>
      </c>
      <c r="AO371" s="350" t="s">
        <v>313</v>
      </c>
      <c r="AP371" s="639">
        <f t="shared" si="52"/>
        <v>1</v>
      </c>
    </row>
    <row r="372" spans="1:42" x14ac:dyDescent="0.2">
      <c r="A372" s="638">
        <v>42583</v>
      </c>
      <c r="B372" s="341" t="s">
        <v>135</v>
      </c>
      <c r="C372" s="351" t="s">
        <v>183</v>
      </c>
      <c r="D372" s="342">
        <v>178698.57000350999</v>
      </c>
      <c r="E372" s="342">
        <v>10865.9900016785</v>
      </c>
      <c r="F372" s="342">
        <v>167832.580001831</v>
      </c>
      <c r="G372" s="342">
        <v>122452.500835657</v>
      </c>
      <c r="H372" s="342">
        <v>62043.940510988199</v>
      </c>
      <c r="I372" s="342">
        <v>60408.560324668899</v>
      </c>
      <c r="J372" s="342">
        <v>31355.3601272739</v>
      </c>
      <c r="K372" s="343">
        <v>91097.140708383187</v>
      </c>
      <c r="L372" s="342">
        <v>71043.879318237305</v>
      </c>
      <c r="M372" s="342">
        <v>-103.76000022888201</v>
      </c>
      <c r="N372" s="354">
        <v>952</v>
      </c>
      <c r="O372" s="343">
        <v>187.70858193645955</v>
      </c>
      <c r="P372" s="343">
        <v>113.19164987972802</v>
      </c>
      <c r="Q372" s="343">
        <v>128.62657650804317</v>
      </c>
      <c r="R372" s="344">
        <v>0.68524611491436238</v>
      </c>
      <c r="S372" s="344">
        <v>1.6027165909255392</v>
      </c>
      <c r="T372" s="343">
        <v>153912.57999999999</v>
      </c>
      <c r="U372" s="342">
        <v>106937.23999999999</v>
      </c>
      <c r="V372" s="342">
        <v>2253.33</v>
      </c>
      <c r="W372" s="344">
        <f t="shared" si="53"/>
        <v>2.1071518210120255E-2</v>
      </c>
      <c r="X372" s="342">
        <v>1235.01</v>
      </c>
      <c r="Y372" s="344">
        <f t="shared" si="54"/>
        <v>1.1548923462023146E-2</v>
      </c>
      <c r="Z372" s="342">
        <v>4112.7299999999996</v>
      </c>
      <c r="AA372" s="344">
        <f t="shared" si="47"/>
        <v>3.8459286961212015E-2</v>
      </c>
      <c r="AB372" s="342">
        <v>11004.19</v>
      </c>
      <c r="AC372" s="344">
        <f t="shared" si="55"/>
        <v>0.1029032542826054</v>
      </c>
      <c r="AD372" s="342">
        <v>46975.34</v>
      </c>
      <c r="AE372" s="342">
        <v>3360.07</v>
      </c>
      <c r="AF372" s="344">
        <f t="shared" si="48"/>
        <v>7.1528380635456829E-2</v>
      </c>
      <c r="AG372" s="342">
        <v>3544.97</v>
      </c>
      <c r="AH372" s="344">
        <f t="shared" si="49"/>
        <v>7.5464488389014317E-2</v>
      </c>
      <c r="AI372" s="342">
        <v>2748.92</v>
      </c>
      <c r="AJ372" s="344">
        <f t="shared" si="50"/>
        <v>5.8518363038990252E-2</v>
      </c>
      <c r="AK372" s="342">
        <v>23063.919999999998</v>
      </c>
      <c r="AL372" s="784">
        <f t="shared" si="51"/>
        <v>0.49097930956965929</v>
      </c>
      <c r="AM372" s="350">
        <v>38.701093398349208</v>
      </c>
      <c r="AN372" s="350">
        <v>28.565507406478638</v>
      </c>
      <c r="AO372" s="350">
        <v>201.2846416162902</v>
      </c>
      <c r="AP372" s="639">
        <f t="shared" si="52"/>
        <v>0.29097820103952765</v>
      </c>
    </row>
    <row r="373" spans="1:42" x14ac:dyDescent="0.2">
      <c r="A373" s="638">
        <v>42583</v>
      </c>
      <c r="B373" s="341" t="s">
        <v>135</v>
      </c>
      <c r="C373" s="351" t="s">
        <v>184</v>
      </c>
      <c r="D373" s="342">
        <v>0</v>
      </c>
      <c r="E373" s="342">
        <v>0</v>
      </c>
      <c r="F373" s="342">
        <v>0</v>
      </c>
      <c r="G373" s="342">
        <v>0</v>
      </c>
      <c r="H373" s="342">
        <v>0</v>
      </c>
      <c r="I373" s="342">
        <v>0</v>
      </c>
      <c r="J373" s="342">
        <v>115.550003051758</v>
      </c>
      <c r="K373" s="343">
        <v>-115.550003051758</v>
      </c>
      <c r="L373" s="342">
        <v>0</v>
      </c>
      <c r="M373" s="342">
        <v>0</v>
      </c>
      <c r="N373" s="354">
        <v>0</v>
      </c>
      <c r="O373" s="343" t="s">
        <v>311</v>
      </c>
      <c r="P373" s="343" t="s">
        <v>311</v>
      </c>
      <c r="Q373" s="343" t="s">
        <v>311</v>
      </c>
      <c r="R373" s="344" t="s">
        <v>312</v>
      </c>
      <c r="S373" s="344">
        <v>0</v>
      </c>
      <c r="T373" s="343">
        <v>0</v>
      </c>
      <c r="U373" s="342">
        <v>0</v>
      </c>
      <c r="V373" s="342">
        <v>0</v>
      </c>
      <c r="W373" s="344" t="str">
        <f t="shared" si="53"/>
        <v>0.00%</v>
      </c>
      <c r="X373" s="342">
        <v>0</v>
      </c>
      <c r="Y373" s="344" t="str">
        <f t="shared" si="54"/>
        <v>0.00%</v>
      </c>
      <c r="Z373" s="342">
        <v>0</v>
      </c>
      <c r="AA373" s="344">
        <f t="shared" si="47"/>
        <v>0</v>
      </c>
      <c r="AB373" s="342">
        <v>0</v>
      </c>
      <c r="AC373" s="344" t="str">
        <f t="shared" si="55"/>
        <v>0.00%</v>
      </c>
      <c r="AD373" s="342">
        <v>0</v>
      </c>
      <c r="AE373" s="342">
        <v>0</v>
      </c>
      <c r="AF373" s="344" t="str">
        <f t="shared" si="48"/>
        <v>0.00%</v>
      </c>
      <c r="AG373" s="342">
        <v>0</v>
      </c>
      <c r="AH373" s="344" t="str">
        <f t="shared" si="49"/>
        <v>0.00%</v>
      </c>
      <c r="AI373" s="342">
        <v>0</v>
      </c>
      <c r="AJ373" s="344">
        <f t="shared" si="50"/>
        <v>0</v>
      </c>
      <c r="AK373" s="342">
        <v>0</v>
      </c>
      <c r="AL373" s="784" t="str">
        <f t="shared" si="51"/>
        <v>0.00%</v>
      </c>
      <c r="AM373" s="350">
        <v>0</v>
      </c>
      <c r="AN373" s="350">
        <v>0</v>
      </c>
      <c r="AO373" s="350">
        <v>0</v>
      </c>
      <c r="AP373" s="639" t="str">
        <f t="shared" si="52"/>
        <v>0.00%</v>
      </c>
    </row>
    <row r="374" spans="1:42" x14ac:dyDescent="0.2">
      <c r="A374" s="638">
        <v>42583</v>
      </c>
      <c r="B374" s="341" t="s">
        <v>135</v>
      </c>
      <c r="C374" s="351" t="s">
        <v>185</v>
      </c>
      <c r="D374" s="342">
        <v>142108.97999816801</v>
      </c>
      <c r="E374" s="342">
        <v>11697</v>
      </c>
      <c r="F374" s="342">
        <v>130411.979998168</v>
      </c>
      <c r="G374" s="342">
        <v>93391.250551521807</v>
      </c>
      <c r="H374" s="342">
        <v>46118.8403366208</v>
      </c>
      <c r="I374" s="342">
        <v>47272.410214901</v>
      </c>
      <c r="J374" s="342">
        <v>15774.3000462726</v>
      </c>
      <c r="K374" s="343">
        <v>77616.950505249202</v>
      </c>
      <c r="L374" s="342">
        <v>49382.0695907474</v>
      </c>
      <c r="M374" s="342">
        <v>195.51000022888201</v>
      </c>
      <c r="N374" s="354">
        <v>831</v>
      </c>
      <c r="O374" s="343">
        <v>171.00960288588209</v>
      </c>
      <c r="P374" s="343">
        <v>111.3494589737566</v>
      </c>
      <c r="Q374" s="343">
        <v>112.3841763556219</v>
      </c>
      <c r="R374" s="344">
        <v>0.65718050015365503</v>
      </c>
      <c r="S374" s="344">
        <v>1.2167115499724108</v>
      </c>
      <c r="T374" s="343">
        <v>121268.58</v>
      </c>
      <c r="U374" s="342">
        <v>89624.31</v>
      </c>
      <c r="V374" s="342">
        <v>3285.54</v>
      </c>
      <c r="W374" s="344">
        <f t="shared" si="53"/>
        <v>3.6659026998366852E-2</v>
      </c>
      <c r="X374" s="342">
        <v>1886.92</v>
      </c>
      <c r="Y374" s="344">
        <f t="shared" si="54"/>
        <v>2.1053662784126317E-2</v>
      </c>
      <c r="Z374" s="342">
        <v>1945.7</v>
      </c>
      <c r="AA374" s="344">
        <f t="shared" si="47"/>
        <v>2.1709511626923545E-2</v>
      </c>
      <c r="AB374" s="342">
        <v>9631.7099999999991</v>
      </c>
      <c r="AC374" s="344">
        <f t="shared" si="55"/>
        <v>0.10746760560834442</v>
      </c>
      <c r="AD374" s="342">
        <v>31644.27</v>
      </c>
      <c r="AE374" s="342">
        <v>2408.62</v>
      </c>
      <c r="AF374" s="344">
        <f t="shared" si="48"/>
        <v>7.6115517912089606E-2</v>
      </c>
      <c r="AG374" s="342">
        <v>1911.99</v>
      </c>
      <c r="AH374" s="344">
        <f t="shared" si="49"/>
        <v>6.0421365384633614E-2</v>
      </c>
      <c r="AI374" s="342">
        <v>3424.8</v>
      </c>
      <c r="AJ374" s="344">
        <f t="shared" si="50"/>
        <v>0.1082281247126257</v>
      </c>
      <c r="AK374" s="342">
        <v>16145.4</v>
      </c>
      <c r="AL374" s="784">
        <f t="shared" si="51"/>
        <v>0.51021559353399526</v>
      </c>
      <c r="AM374" s="350">
        <v>27.678576306141494</v>
      </c>
      <c r="AN374" s="350">
        <v>21.775059855264178</v>
      </c>
      <c r="AO374" s="350">
        <v>119.23236623963828</v>
      </c>
      <c r="AP374" s="639">
        <f t="shared" si="52"/>
        <v>0.17047510333634364</v>
      </c>
    </row>
    <row r="375" spans="1:42" x14ac:dyDescent="0.2">
      <c r="A375" s="638">
        <v>42583</v>
      </c>
      <c r="B375" s="341" t="s">
        <v>135</v>
      </c>
      <c r="C375" s="351" t="s">
        <v>179</v>
      </c>
      <c r="D375" s="342">
        <v>106185.880004883</v>
      </c>
      <c r="E375" s="342">
        <v>9137</v>
      </c>
      <c r="F375" s="342">
        <v>97048.880004882798</v>
      </c>
      <c r="G375" s="342">
        <v>68854.090426444993</v>
      </c>
      <c r="H375" s="342">
        <v>32763.230257034302</v>
      </c>
      <c r="I375" s="342">
        <v>36090.860169410698</v>
      </c>
      <c r="J375" s="342">
        <v>15155.6100559924</v>
      </c>
      <c r="K375" s="343">
        <v>53698.480370452606</v>
      </c>
      <c r="L375" s="342">
        <v>38784.579650878899</v>
      </c>
      <c r="M375" s="342">
        <v>467.42999458313</v>
      </c>
      <c r="N375" s="354">
        <v>562</v>
      </c>
      <c r="O375" s="343">
        <v>188.94284698377723</v>
      </c>
      <c r="P375" s="343">
        <v>119.09941345092665</v>
      </c>
      <c r="Q375" s="343">
        <v>122.51617513602315</v>
      </c>
      <c r="R375" s="344">
        <v>0.64842981405134892</v>
      </c>
      <c r="S375" s="344">
        <v>1.3297876371849828</v>
      </c>
      <c r="T375" s="343">
        <v>88875.44</v>
      </c>
      <c r="U375" s="342">
        <v>62533.090000000004</v>
      </c>
      <c r="V375" s="342">
        <v>2677.33</v>
      </c>
      <c r="W375" s="344">
        <f t="shared" si="53"/>
        <v>4.2814612231700043E-2</v>
      </c>
      <c r="X375" s="342">
        <v>-121.86</v>
      </c>
      <c r="Y375" s="344">
        <v>0</v>
      </c>
      <c r="Z375" s="342">
        <v>1965.97</v>
      </c>
      <c r="AA375" s="344">
        <f t="shared" si="47"/>
        <v>3.1438875002018932E-2</v>
      </c>
      <c r="AB375" s="342">
        <v>3925.86</v>
      </c>
      <c r="AC375" s="344">
        <f t="shared" si="55"/>
        <v>6.2780521480707258E-2</v>
      </c>
      <c r="AD375" s="342">
        <v>26342.35</v>
      </c>
      <c r="AE375" s="342">
        <v>2211.54</v>
      </c>
      <c r="AF375" s="344">
        <f t="shared" si="48"/>
        <v>8.3953785444351017E-2</v>
      </c>
      <c r="AG375" s="342">
        <v>2973.15</v>
      </c>
      <c r="AH375" s="344">
        <f t="shared" si="49"/>
        <v>0.11286578456363992</v>
      </c>
      <c r="AI375" s="342">
        <v>2659.94</v>
      </c>
      <c r="AJ375" s="344">
        <f t="shared" si="50"/>
        <v>0.1009758051198925</v>
      </c>
      <c r="AK375" s="342">
        <v>10682.08</v>
      </c>
      <c r="AL375" s="784">
        <f t="shared" si="51"/>
        <v>0.40550975900024105</v>
      </c>
      <c r="AM375" s="350">
        <v>26.209479705606032</v>
      </c>
      <c r="AN375" s="350">
        <v>19.905073156920501</v>
      </c>
      <c r="AO375" s="350">
        <v>105.6228949478749</v>
      </c>
      <c r="AP375" s="639">
        <f t="shared" si="52"/>
        <v>0.22642662040324163</v>
      </c>
    </row>
    <row r="376" spans="1:42" x14ac:dyDescent="0.2">
      <c r="A376" s="638">
        <v>42583</v>
      </c>
      <c r="B376" s="341" t="s">
        <v>135</v>
      </c>
      <c r="C376" s="351" t="s">
        <v>186</v>
      </c>
      <c r="D376" s="342">
        <v>91131.190002441406</v>
      </c>
      <c r="E376" s="342">
        <v>6942</v>
      </c>
      <c r="F376" s="342">
        <v>84189.190002441406</v>
      </c>
      <c r="G376" s="342">
        <v>59362.360288143202</v>
      </c>
      <c r="H376" s="342">
        <v>29258.570128917701</v>
      </c>
      <c r="I376" s="342">
        <v>30103.7901592255</v>
      </c>
      <c r="J376" s="342">
        <v>10735.390048384699</v>
      </c>
      <c r="K376" s="343">
        <v>48626.970239758506</v>
      </c>
      <c r="L376" s="342">
        <v>31772.759773254402</v>
      </c>
      <c r="M376" s="342">
        <v>135</v>
      </c>
      <c r="N376" s="354">
        <v>526</v>
      </c>
      <c r="O376" s="343">
        <v>173.2532129323981</v>
      </c>
      <c r="P376" s="343">
        <v>112.59207267906275</v>
      </c>
      <c r="Q376" s="343">
        <v>112.85619826643195</v>
      </c>
      <c r="R376" s="344">
        <v>0.6513945476466716</v>
      </c>
      <c r="S376" s="344">
        <v>1.2242680889306459</v>
      </c>
      <c r="T376" s="343">
        <v>63329.9</v>
      </c>
      <c r="U376" s="342">
        <v>51330.51</v>
      </c>
      <c r="V376" s="342">
        <v>1626.25</v>
      </c>
      <c r="W376" s="344">
        <f t="shared" si="53"/>
        <v>3.1681937311746948E-2</v>
      </c>
      <c r="X376" s="342">
        <v>724</v>
      </c>
      <c r="Y376" s="344">
        <f t="shared" si="54"/>
        <v>1.4104671860848451E-2</v>
      </c>
      <c r="Z376" s="342">
        <v>3326.94</v>
      </c>
      <c r="AA376" s="344">
        <f t="shared" si="47"/>
        <v>6.4814084255153517E-2</v>
      </c>
      <c r="AB376" s="342">
        <v>1678</v>
      </c>
      <c r="AC376" s="344">
        <f t="shared" si="55"/>
        <v>3.2690109644342123E-2</v>
      </c>
      <c r="AD376" s="342">
        <v>11999.39</v>
      </c>
      <c r="AE376" s="342">
        <v>2025.41</v>
      </c>
      <c r="AF376" s="344">
        <f t="shared" si="48"/>
        <v>0.16879274696463739</v>
      </c>
      <c r="AG376" s="342">
        <v>1847.15</v>
      </c>
      <c r="AH376" s="344">
        <f t="shared" si="49"/>
        <v>0.15393699179708303</v>
      </c>
      <c r="AI376" s="342">
        <v>1309.82</v>
      </c>
      <c r="AJ376" s="344">
        <f t="shared" si="50"/>
        <v>0.1091572154917875</v>
      </c>
      <c r="AK376" s="342">
        <v>3601.34</v>
      </c>
      <c r="AL376" s="784">
        <f t="shared" si="51"/>
        <v>0.3001269231185919</v>
      </c>
      <c r="AM376" s="350">
        <v>21.395201951551794</v>
      </c>
      <c r="AN376" s="350">
        <v>18.676624873271152</v>
      </c>
      <c r="AO376" s="350">
        <v>56.701937414680245</v>
      </c>
      <c r="AP376" s="639">
        <f t="shared" si="52"/>
        <v>0.1812693051861422</v>
      </c>
    </row>
    <row r="377" spans="1:42" x14ac:dyDescent="0.2">
      <c r="A377" s="638">
        <v>42583</v>
      </c>
      <c r="B377" s="341" t="s">
        <v>135</v>
      </c>
      <c r="C377" s="351" t="s">
        <v>187</v>
      </c>
      <c r="D377" s="342">
        <v>108494.05000305201</v>
      </c>
      <c r="E377" s="342">
        <v>8766</v>
      </c>
      <c r="F377" s="342">
        <v>99728.050003051801</v>
      </c>
      <c r="G377" s="342">
        <v>71505.370480969505</v>
      </c>
      <c r="H377" s="342">
        <v>34043.3702764064</v>
      </c>
      <c r="I377" s="342">
        <v>37462.000204563097</v>
      </c>
      <c r="J377" s="342">
        <v>14649.240024954101</v>
      </c>
      <c r="K377" s="343">
        <v>56856.130456015388</v>
      </c>
      <c r="L377" s="342">
        <v>37483.739656120502</v>
      </c>
      <c r="M377" s="342">
        <v>224.18999671936001</v>
      </c>
      <c r="N377" s="354">
        <v>580</v>
      </c>
      <c r="O377" s="343">
        <v>187.05870690181345</v>
      </c>
      <c r="P377" s="343">
        <v>122.04503508657233</v>
      </c>
      <c r="Q377" s="343">
        <v>123.28512151891292</v>
      </c>
      <c r="R377" s="344">
        <v>0.65907181526505954</v>
      </c>
      <c r="S377" s="344">
        <v>1.2737681550286799</v>
      </c>
      <c r="T377" s="343">
        <v>77155.25</v>
      </c>
      <c r="U377" s="342">
        <v>60956.12</v>
      </c>
      <c r="V377" s="342">
        <v>927.5</v>
      </c>
      <c r="W377" s="344">
        <f t="shared" si="53"/>
        <v>1.521586347687484E-2</v>
      </c>
      <c r="X377" s="342">
        <v>642.05999999999995</v>
      </c>
      <c r="Y377" s="344">
        <f t="shared" si="54"/>
        <v>1.053315073203478E-2</v>
      </c>
      <c r="Z377" s="342">
        <v>1775</v>
      </c>
      <c r="AA377" s="344">
        <f t="shared" si="47"/>
        <v>2.9119307462482848E-2</v>
      </c>
      <c r="AB377" s="342">
        <v>3116.71</v>
      </c>
      <c r="AC377" s="344">
        <f t="shared" si="55"/>
        <v>5.1130386907828118E-2</v>
      </c>
      <c r="AD377" s="342">
        <v>16199.13</v>
      </c>
      <c r="AE377" s="342">
        <v>1806.54</v>
      </c>
      <c r="AF377" s="344">
        <f t="shared" si="48"/>
        <v>0.111520803895024</v>
      </c>
      <c r="AG377" s="342">
        <v>1898.4</v>
      </c>
      <c r="AH377" s="344">
        <f t="shared" si="49"/>
        <v>0.11719147880163935</v>
      </c>
      <c r="AI377" s="342">
        <v>1897.76</v>
      </c>
      <c r="AJ377" s="344">
        <f t="shared" si="50"/>
        <v>0.1171519705070581</v>
      </c>
      <c r="AK377" s="342">
        <v>7907.13</v>
      </c>
      <c r="AL377" s="784">
        <f t="shared" si="51"/>
        <v>0.48812065833165119</v>
      </c>
      <c r="AM377" s="350">
        <v>22.898552382727264</v>
      </c>
      <c r="AN377" s="350">
        <v>19.543383718988935</v>
      </c>
      <c r="AO377" s="350">
        <v>64.687270387789511</v>
      </c>
      <c r="AP377" s="639">
        <f t="shared" si="52"/>
        <v>0.20695074051915033</v>
      </c>
    </row>
    <row r="378" spans="1:42" x14ac:dyDescent="0.2">
      <c r="A378" s="638">
        <v>42583</v>
      </c>
      <c r="B378" s="341" t="s">
        <v>135</v>
      </c>
      <c r="C378" s="351" t="s">
        <v>188</v>
      </c>
      <c r="D378" s="342">
        <v>118196.36000442501</v>
      </c>
      <c r="E378" s="342">
        <v>13257</v>
      </c>
      <c r="F378" s="342">
        <v>104939.36000442501</v>
      </c>
      <c r="G378" s="342">
        <v>82854.270532965704</v>
      </c>
      <c r="H378" s="342">
        <v>40890.130342841097</v>
      </c>
      <c r="I378" s="342">
        <v>41964.140190124497</v>
      </c>
      <c r="J378" s="342">
        <v>16770.260085225102</v>
      </c>
      <c r="K378" s="343">
        <v>66084.010447740497</v>
      </c>
      <c r="L378" s="342">
        <v>41319.249623298601</v>
      </c>
      <c r="M378" s="342">
        <v>29.379999160766001</v>
      </c>
      <c r="N378" s="354">
        <v>752</v>
      </c>
      <c r="O378" s="343">
        <v>157.17601064418218</v>
      </c>
      <c r="P378" s="343">
        <v>102.19113082708196</v>
      </c>
      <c r="Q378" s="343">
        <v>110.17855124064575</v>
      </c>
      <c r="R378" s="344">
        <v>0.70098834287167322</v>
      </c>
      <c r="S378" s="344">
        <v>1.379123823352143</v>
      </c>
      <c r="T378" s="343">
        <v>101565.44</v>
      </c>
      <c r="U378" s="342">
        <v>72782</v>
      </c>
      <c r="V378" s="342">
        <v>1471.54</v>
      </c>
      <c r="W378" s="344">
        <f t="shared" si="53"/>
        <v>2.0218460608392184E-2</v>
      </c>
      <c r="X378" s="342">
        <v>2273.5</v>
      </c>
      <c r="Y378" s="344">
        <f t="shared" si="54"/>
        <v>3.1237119067901404E-2</v>
      </c>
      <c r="Z378" s="342">
        <v>449.63</v>
      </c>
      <c r="AA378" s="344">
        <f t="shared" si="47"/>
        <v>6.1777637327910745E-3</v>
      </c>
      <c r="AB378" s="342">
        <v>5466.82</v>
      </c>
      <c r="AC378" s="344">
        <f t="shared" si="55"/>
        <v>7.5112253029595219E-2</v>
      </c>
      <c r="AD378" s="342">
        <v>28783.439999999999</v>
      </c>
      <c r="AE378" s="342">
        <v>5554.33</v>
      </c>
      <c r="AF378" s="344">
        <f t="shared" si="48"/>
        <v>0.19296963809746159</v>
      </c>
      <c r="AG378" s="342">
        <v>3082.77</v>
      </c>
      <c r="AH378" s="344">
        <f t="shared" si="49"/>
        <v>0.10710220877004278</v>
      </c>
      <c r="AI378" s="342">
        <v>1274.1600000000001</v>
      </c>
      <c r="AJ378" s="344">
        <f t="shared" si="50"/>
        <v>4.4267120260816639E-2</v>
      </c>
      <c r="AK378" s="342">
        <v>13801.98</v>
      </c>
      <c r="AL378" s="784">
        <f t="shared" si="51"/>
        <v>0.47951113556961922</v>
      </c>
      <c r="AM378" s="350">
        <v>25.947807119406701</v>
      </c>
      <c r="AN378" s="350">
        <v>20.322040673322544</v>
      </c>
      <c r="AO378" s="350">
        <v>86.491589596340688</v>
      </c>
      <c r="AP378" s="639">
        <f t="shared" si="52"/>
        <v>0.21822713568598362</v>
      </c>
    </row>
    <row r="379" spans="1:42" x14ac:dyDescent="0.2">
      <c r="A379" s="638">
        <v>42583</v>
      </c>
      <c r="B379" s="341" t="s">
        <v>136</v>
      </c>
      <c r="C379" s="351" t="s">
        <v>189</v>
      </c>
      <c r="D379" s="342">
        <v>110079.42001060399</v>
      </c>
      <c r="E379" s="342">
        <v>7617</v>
      </c>
      <c r="F379" s="342">
        <v>102462.42001060399</v>
      </c>
      <c r="G379" s="342">
        <v>66961.300194293304</v>
      </c>
      <c r="H379" s="342">
        <v>28882.110044032299</v>
      </c>
      <c r="I379" s="342">
        <v>38079.190150260903</v>
      </c>
      <c r="J379" s="342">
        <v>11217.4699892998</v>
      </c>
      <c r="K379" s="343">
        <v>55743.830204993399</v>
      </c>
      <c r="L379" s="342">
        <v>35441.880006719402</v>
      </c>
      <c r="M379" s="342">
        <v>802.71999931335404</v>
      </c>
      <c r="N379" s="354">
        <v>534</v>
      </c>
      <c r="O379" s="343">
        <v>206.14123597491385</v>
      </c>
      <c r="P379" s="343">
        <v>138.26745319208095</v>
      </c>
      <c r="Q379" s="343">
        <v>125.39569324774008</v>
      </c>
      <c r="R379" s="344">
        <v>0.60829990008888846</v>
      </c>
      <c r="S379" s="344">
        <v>1.0693729481998575</v>
      </c>
      <c r="T379" s="343">
        <v>96987.1</v>
      </c>
      <c r="U379" s="342">
        <v>70915.199999999997</v>
      </c>
      <c r="V379" s="342">
        <v>2387.75</v>
      </c>
      <c r="W379" s="344">
        <f t="shared" si="53"/>
        <v>3.3670496593114031E-2</v>
      </c>
      <c r="X379" s="342">
        <v>1621.22</v>
      </c>
      <c r="Y379" s="344">
        <f t="shared" si="54"/>
        <v>2.2861389377735662E-2</v>
      </c>
      <c r="Z379" s="342">
        <v>1106.56</v>
      </c>
      <c r="AA379" s="344">
        <f t="shared" si="47"/>
        <v>1.5603988989666532E-2</v>
      </c>
      <c r="AB379" s="342">
        <v>4380.8999999999996</v>
      </c>
      <c r="AC379" s="344">
        <f t="shared" si="55"/>
        <v>6.1776600785163123E-2</v>
      </c>
      <c r="AD379" s="342">
        <v>26071.9</v>
      </c>
      <c r="AE379" s="342">
        <v>1163.6300000000001</v>
      </c>
      <c r="AF379" s="344">
        <f t="shared" si="48"/>
        <v>4.4631576524917636E-2</v>
      </c>
      <c r="AG379" s="342">
        <v>1338.4</v>
      </c>
      <c r="AH379" s="344">
        <f t="shared" si="49"/>
        <v>5.1334962162328024E-2</v>
      </c>
      <c r="AI379" s="342">
        <v>2960.72</v>
      </c>
      <c r="AJ379" s="344">
        <f t="shared" si="50"/>
        <v>0.11355980960344278</v>
      </c>
      <c r="AK379" s="342">
        <v>14506</v>
      </c>
      <c r="AL379" s="784">
        <f t="shared" si="51"/>
        <v>0.55638445989743746</v>
      </c>
      <c r="AM379" s="350">
        <v>26.706999292645868</v>
      </c>
      <c r="AN379" s="350">
        <v>20.696497845957762</v>
      </c>
      <c r="AO379" s="350">
        <v>127.12487810163614</v>
      </c>
      <c r="AP379" s="639">
        <f t="shared" si="52"/>
        <v>0.15192655699039165</v>
      </c>
    </row>
    <row r="380" spans="1:42" x14ac:dyDescent="0.2">
      <c r="A380" s="638">
        <v>42583</v>
      </c>
      <c r="B380" s="341" t="s">
        <v>136</v>
      </c>
      <c r="C380" s="351" t="s">
        <v>190</v>
      </c>
      <c r="D380" s="342">
        <v>117503.480007228</v>
      </c>
      <c r="E380" s="342">
        <v>8186</v>
      </c>
      <c r="F380" s="342">
        <v>109317.480007228</v>
      </c>
      <c r="G380" s="342">
        <v>91349.280163655101</v>
      </c>
      <c r="H380" s="342">
        <v>43783.799936661497</v>
      </c>
      <c r="I380" s="342">
        <v>47565.480226993597</v>
      </c>
      <c r="J380" s="342">
        <v>24732.6800463051</v>
      </c>
      <c r="K380" s="343">
        <v>66616.600117349983</v>
      </c>
      <c r="L380" s="342">
        <v>45534.699959864804</v>
      </c>
      <c r="M380" s="342">
        <v>111.199996948242</v>
      </c>
      <c r="N380" s="354">
        <v>621</v>
      </c>
      <c r="O380" s="343">
        <v>189.2165539568889</v>
      </c>
      <c r="P380" s="343">
        <v>115.71268929213358</v>
      </c>
      <c r="Q380" s="343">
        <v>147.10029011860723</v>
      </c>
      <c r="R380" s="344">
        <v>0.77741765740075019</v>
      </c>
      <c r="S380" s="344">
        <v>1.9384503766732311</v>
      </c>
      <c r="T380" s="343">
        <v>122840.69</v>
      </c>
      <c r="U380" s="342">
        <v>79600.850000000006</v>
      </c>
      <c r="V380" s="342">
        <v>3747.26</v>
      </c>
      <c r="W380" s="344">
        <f t="shared" si="53"/>
        <v>4.7075627961259206E-2</v>
      </c>
      <c r="X380" s="342">
        <v>2329.02</v>
      </c>
      <c r="Y380" s="344">
        <f t="shared" si="54"/>
        <v>2.9258732789913672E-2</v>
      </c>
      <c r="Z380" s="342">
        <v>1869.24</v>
      </c>
      <c r="AA380" s="344">
        <f t="shared" si="47"/>
        <v>2.3482663815775837E-2</v>
      </c>
      <c r="AB380" s="342">
        <v>6309.19</v>
      </c>
      <c r="AC380" s="344">
        <f t="shared" si="55"/>
        <v>7.926033453160361E-2</v>
      </c>
      <c r="AD380" s="342">
        <v>43239.839999999997</v>
      </c>
      <c r="AE380" s="342">
        <v>3920.39</v>
      </c>
      <c r="AF380" s="344">
        <f t="shared" si="48"/>
        <v>9.0666154176333683E-2</v>
      </c>
      <c r="AG380" s="342">
        <v>2915.9</v>
      </c>
      <c r="AH380" s="344">
        <f t="shared" si="49"/>
        <v>6.743549467343081E-2</v>
      </c>
      <c r="AI380" s="342">
        <v>2689.46</v>
      </c>
      <c r="AJ380" s="344">
        <f t="shared" si="50"/>
        <v>6.2198657534347959E-2</v>
      </c>
      <c r="AK380" s="342">
        <v>27836.22</v>
      </c>
      <c r="AL380" s="784">
        <f t="shared" si="51"/>
        <v>0.64376325166790638</v>
      </c>
      <c r="AM380" s="350">
        <v>25.819880045727793</v>
      </c>
      <c r="AN380" s="350">
        <v>17.69943085140164</v>
      </c>
      <c r="AO380" s="350">
        <v>166.15796080440629</v>
      </c>
      <c r="AP380" s="639">
        <f t="shared" si="52"/>
        <v>0.34419027232691057</v>
      </c>
    </row>
    <row r="381" spans="1:42" x14ac:dyDescent="0.2">
      <c r="A381" s="638">
        <v>42583</v>
      </c>
      <c r="B381" s="341" t="s">
        <v>136</v>
      </c>
      <c r="C381" s="351" t="s">
        <v>191</v>
      </c>
      <c r="D381" s="342">
        <v>139436.99000434799</v>
      </c>
      <c r="E381" s="342">
        <v>10555</v>
      </c>
      <c r="F381" s="342">
        <v>128881.990004348</v>
      </c>
      <c r="G381" s="342">
        <v>89516.800102261797</v>
      </c>
      <c r="H381" s="342">
        <v>45895.900031833</v>
      </c>
      <c r="I381" s="342">
        <v>43620.900070428797</v>
      </c>
      <c r="J381" s="342">
        <v>16955.330044746399</v>
      </c>
      <c r="K381" s="343">
        <v>72561.470057515398</v>
      </c>
      <c r="L381" s="342">
        <v>49058.600005149798</v>
      </c>
      <c r="M381" s="342">
        <v>725.10999298095703</v>
      </c>
      <c r="N381" s="354">
        <v>695</v>
      </c>
      <c r="O381" s="343">
        <v>200.62876259618415</v>
      </c>
      <c r="P381" s="343">
        <v>128.99752518880177</v>
      </c>
      <c r="Q381" s="343">
        <v>128.80115122627598</v>
      </c>
      <c r="R381" s="344">
        <v>0.64198746759715941</v>
      </c>
      <c r="S381" s="344">
        <v>1.231352467981625</v>
      </c>
      <c r="T381" s="343">
        <v>136351.03999999998</v>
      </c>
      <c r="U381" s="342">
        <v>96908.01</v>
      </c>
      <c r="V381" s="342">
        <v>2732.28</v>
      </c>
      <c r="W381" s="344">
        <f t="shared" si="53"/>
        <v>2.8194573389753855E-2</v>
      </c>
      <c r="X381" s="342">
        <v>3062.76</v>
      </c>
      <c r="Y381" s="344">
        <f t="shared" si="54"/>
        <v>3.1604817806082285E-2</v>
      </c>
      <c r="Z381" s="342">
        <v>1598.04</v>
      </c>
      <c r="AA381" s="344">
        <f t="shared" si="47"/>
        <v>1.6490277738651325E-2</v>
      </c>
      <c r="AB381" s="342">
        <v>4518.21</v>
      </c>
      <c r="AC381" s="344">
        <f t="shared" si="55"/>
        <v>4.662370014614891E-2</v>
      </c>
      <c r="AD381" s="342">
        <v>39443.03</v>
      </c>
      <c r="AE381" s="342">
        <v>3391.83</v>
      </c>
      <c r="AF381" s="344">
        <f t="shared" si="48"/>
        <v>8.5993139979357563E-2</v>
      </c>
      <c r="AG381" s="342">
        <v>5153.12</v>
      </c>
      <c r="AH381" s="344">
        <f t="shared" si="49"/>
        <v>0.13064716377012617</v>
      </c>
      <c r="AI381" s="342">
        <v>3661.11</v>
      </c>
      <c r="AJ381" s="344">
        <f t="shared" si="50"/>
        <v>9.2820201693429749E-2</v>
      </c>
      <c r="AK381" s="342">
        <v>19364.189999999999</v>
      </c>
      <c r="AL381" s="784">
        <f t="shared" si="51"/>
        <v>0.49094073148031475</v>
      </c>
      <c r="AM381" s="350">
        <v>27.824115654194898</v>
      </c>
      <c r="AN381" s="350">
        <v>20.741278538264108</v>
      </c>
      <c r="AO381" s="350">
        <v>172.81888418285379</v>
      </c>
      <c r="AP381" s="639">
        <f t="shared" si="52"/>
        <v>0.18912113470439218</v>
      </c>
    </row>
    <row r="382" spans="1:42" x14ac:dyDescent="0.2">
      <c r="A382" s="638">
        <v>42583</v>
      </c>
      <c r="B382" s="341" t="s">
        <v>136</v>
      </c>
      <c r="C382" s="351" t="s">
        <v>192</v>
      </c>
      <c r="D382" s="342">
        <v>195477.20001298701</v>
      </c>
      <c r="E382" s="342">
        <v>19371</v>
      </c>
      <c r="F382" s="342">
        <v>176106.20001298701</v>
      </c>
      <c r="G382" s="342">
        <v>130927.830146015</v>
      </c>
      <c r="H382" s="342">
        <v>64492.069932639599</v>
      </c>
      <c r="I382" s="342">
        <v>66435.760213375106</v>
      </c>
      <c r="J382" s="342">
        <v>20214.6700718682</v>
      </c>
      <c r="K382" s="343">
        <v>110713.16007414651</v>
      </c>
      <c r="L382" s="342">
        <v>56509.220163345301</v>
      </c>
      <c r="M382" s="342">
        <v>335.58000183105497</v>
      </c>
      <c r="N382" s="354">
        <v>1388</v>
      </c>
      <c r="O382" s="343">
        <v>140.83371758860736</v>
      </c>
      <c r="P382" s="343">
        <v>99.879250610814594</v>
      </c>
      <c r="Q382" s="343">
        <v>94.328407886177743</v>
      </c>
      <c r="R382" s="344">
        <v>0.66978568414790163</v>
      </c>
      <c r="S382" s="344">
        <v>1.1056438118999794</v>
      </c>
      <c r="T382" s="343">
        <v>208162.5</v>
      </c>
      <c r="U382" s="342">
        <v>141897.30000000002</v>
      </c>
      <c r="V382" s="342">
        <v>2610.41</v>
      </c>
      <c r="W382" s="344">
        <f t="shared" si="53"/>
        <v>1.8396474069626408E-2</v>
      </c>
      <c r="X382" s="342">
        <v>3123.13</v>
      </c>
      <c r="Y382" s="344">
        <f t="shared" si="54"/>
        <v>2.2009791588705349E-2</v>
      </c>
      <c r="Z382" s="342">
        <v>1673.07</v>
      </c>
      <c r="AA382" s="344">
        <f t="shared" si="47"/>
        <v>1.1790710605487207E-2</v>
      </c>
      <c r="AB382" s="342">
        <v>9163.65</v>
      </c>
      <c r="AC382" s="344">
        <f t="shared" si="55"/>
        <v>6.4579452885995703E-2</v>
      </c>
      <c r="AD382" s="342">
        <v>66265.2</v>
      </c>
      <c r="AE382" s="342">
        <v>4831.93</v>
      </c>
      <c r="AF382" s="344">
        <f t="shared" si="48"/>
        <v>7.2918062572813497E-2</v>
      </c>
      <c r="AG382" s="342">
        <v>6152.17</v>
      </c>
      <c r="AH382" s="344">
        <f t="shared" si="49"/>
        <v>9.2841642370354277E-2</v>
      </c>
      <c r="AI382" s="342">
        <v>6533.72</v>
      </c>
      <c r="AJ382" s="344">
        <f t="shared" si="50"/>
        <v>9.8599566590005017E-2</v>
      </c>
      <c r="AK382" s="342">
        <v>32277.7</v>
      </c>
      <c r="AL382" s="784">
        <f t="shared" si="51"/>
        <v>0.48709880902796643</v>
      </c>
      <c r="AM382" s="350">
        <v>31.206217141357762</v>
      </c>
      <c r="AN382" s="350">
        <v>22.970882920188487</v>
      </c>
      <c r="AO382" s="350">
        <v>134.33647933325824</v>
      </c>
      <c r="AP382" s="639">
        <f t="shared" si="52"/>
        <v>0.14581490397670152</v>
      </c>
    </row>
    <row r="383" spans="1:42" x14ac:dyDescent="0.2">
      <c r="A383" s="638">
        <v>42583</v>
      </c>
      <c r="B383" s="341" t="s">
        <v>136</v>
      </c>
      <c r="C383" s="351" t="s">
        <v>193</v>
      </c>
      <c r="D383" s="342">
        <v>53268.7900052443</v>
      </c>
      <c r="E383" s="342">
        <v>4791</v>
      </c>
      <c r="F383" s="342">
        <v>48477.7900052443</v>
      </c>
      <c r="G383" s="342">
        <v>25625.860014229998</v>
      </c>
      <c r="H383" s="342">
        <v>11347.0999803841</v>
      </c>
      <c r="I383" s="342">
        <v>14278.7600338459</v>
      </c>
      <c r="J383" s="342">
        <v>2922.3100078105899</v>
      </c>
      <c r="K383" s="343">
        <v>22703.550006419409</v>
      </c>
      <c r="L383" s="342">
        <v>14722.1999816895</v>
      </c>
      <c r="M383" s="342">
        <v>29</v>
      </c>
      <c r="N383" s="354">
        <v>268</v>
      </c>
      <c r="O383" s="343">
        <v>198.76414181061307</v>
      </c>
      <c r="P383" s="343">
        <v>143.72235083415973</v>
      </c>
      <c r="Q383" s="343">
        <v>95.618880650111933</v>
      </c>
      <c r="R383" s="344">
        <v>0.48106705655801713</v>
      </c>
      <c r="S383" s="344">
        <v>0.71992297863355426</v>
      </c>
      <c r="T383" s="343">
        <v>46670.78</v>
      </c>
      <c r="U383" s="342">
        <v>42673.72</v>
      </c>
      <c r="V383" s="342">
        <v>2921.24</v>
      </c>
      <c r="W383" s="344">
        <f t="shared" si="53"/>
        <v>6.8455245992146918E-2</v>
      </c>
      <c r="X383" s="342">
        <v>385.57</v>
      </c>
      <c r="Y383" s="344">
        <f t="shared" si="54"/>
        <v>9.0353032264353789E-3</v>
      </c>
      <c r="Z383" s="342">
        <v>0</v>
      </c>
      <c r="AA383" s="344">
        <f t="shared" si="47"/>
        <v>0</v>
      </c>
      <c r="AB383" s="342">
        <v>0</v>
      </c>
      <c r="AC383" s="344">
        <f t="shared" si="55"/>
        <v>0</v>
      </c>
      <c r="AD383" s="342">
        <v>3997.06</v>
      </c>
      <c r="AE383" s="342">
        <v>668.75</v>
      </c>
      <c r="AF383" s="344">
        <f t="shared" si="48"/>
        <v>0.16731047319780037</v>
      </c>
      <c r="AG383" s="342">
        <v>528.16</v>
      </c>
      <c r="AH383" s="344">
        <f t="shared" si="49"/>
        <v>0.13213712078377607</v>
      </c>
      <c r="AI383" s="342">
        <v>22.63</v>
      </c>
      <c r="AJ383" s="344">
        <f t="shared" si="50"/>
        <v>5.6616613210709868E-3</v>
      </c>
      <c r="AK383" s="342">
        <v>0</v>
      </c>
      <c r="AL383" s="784">
        <f t="shared" si="51"/>
        <v>0</v>
      </c>
      <c r="AM383" s="350">
        <v>30.348348828929183</v>
      </c>
      <c r="AN383" s="350">
        <v>29.381243771727146</v>
      </c>
      <c r="AO383" s="350">
        <v>46.791805411030168</v>
      </c>
      <c r="AP383" s="639">
        <f t="shared" si="52"/>
        <v>7.5869492510395875E-2</v>
      </c>
    </row>
    <row r="384" spans="1:42" x14ac:dyDescent="0.2">
      <c r="A384" s="638">
        <v>42583</v>
      </c>
      <c r="B384" s="341" t="s">
        <v>136</v>
      </c>
      <c r="C384" s="351" t="s">
        <v>194</v>
      </c>
      <c r="D384" s="342">
        <v>104450.77000404301</v>
      </c>
      <c r="E384" s="342">
        <v>7691</v>
      </c>
      <c r="F384" s="342">
        <v>96759.770004043399</v>
      </c>
      <c r="G384" s="342">
        <v>70205.170198170497</v>
      </c>
      <c r="H384" s="342">
        <v>31548.490019261801</v>
      </c>
      <c r="I384" s="342">
        <v>38656.680178908602</v>
      </c>
      <c r="J384" s="342">
        <v>11489.0200539827</v>
      </c>
      <c r="K384" s="343">
        <v>58716.150144187712</v>
      </c>
      <c r="L384" s="342">
        <v>36310.169973611803</v>
      </c>
      <c r="M384" s="342">
        <v>185.76999950408899</v>
      </c>
      <c r="N384" s="354">
        <v>485</v>
      </c>
      <c r="O384" s="343">
        <v>215.36241237947092</v>
      </c>
      <c r="P384" s="343">
        <v>140.1130516101598</v>
      </c>
      <c r="Q384" s="343">
        <v>144.75292824365033</v>
      </c>
      <c r="R384" s="344">
        <v>0.67213645428801239</v>
      </c>
      <c r="S384" s="344">
        <v>1.2433217592528192</v>
      </c>
      <c r="T384" s="343">
        <v>88529.82</v>
      </c>
      <c r="U384" s="342">
        <v>65459.69</v>
      </c>
      <c r="V384" s="342">
        <v>1389.34</v>
      </c>
      <c r="W384" s="344">
        <f t="shared" si="53"/>
        <v>2.1224359602069608E-2</v>
      </c>
      <c r="X384" s="342">
        <v>719.28</v>
      </c>
      <c r="Y384" s="344">
        <f t="shared" si="54"/>
        <v>1.0988136363004468E-2</v>
      </c>
      <c r="Z384" s="342">
        <v>825.72</v>
      </c>
      <c r="AA384" s="344">
        <f t="shared" si="47"/>
        <v>1.2614175227533159E-2</v>
      </c>
      <c r="AB384" s="342">
        <v>3219.47</v>
      </c>
      <c r="AC384" s="344">
        <f t="shared" si="55"/>
        <v>4.9182481615785222E-2</v>
      </c>
      <c r="AD384" s="342">
        <v>23070.13</v>
      </c>
      <c r="AE384" s="342">
        <v>2885.26</v>
      </c>
      <c r="AF384" s="344">
        <f t="shared" si="48"/>
        <v>0.12506474822638625</v>
      </c>
      <c r="AG384" s="342">
        <v>1875.17</v>
      </c>
      <c r="AH384" s="344">
        <f t="shared" si="49"/>
        <v>8.1281293169999477E-2</v>
      </c>
      <c r="AI384" s="342">
        <v>1777.16</v>
      </c>
      <c r="AJ384" s="344">
        <f t="shared" si="50"/>
        <v>7.7032942597202531E-2</v>
      </c>
      <c r="AK384" s="342">
        <v>9950.49</v>
      </c>
      <c r="AL384" s="784">
        <f t="shared" si="51"/>
        <v>0.43131486471901109</v>
      </c>
      <c r="AM384" s="350">
        <v>23.697133968573109</v>
      </c>
      <c r="AN384" s="350">
        <v>18.759652004321143</v>
      </c>
      <c r="AO384" s="350">
        <v>93.590791075050717</v>
      </c>
      <c r="AP384" s="639">
        <f t="shared" si="52"/>
        <v>0.1690684834139663</v>
      </c>
    </row>
    <row r="385" spans="1:42" x14ac:dyDescent="0.2">
      <c r="A385" s="638">
        <v>42583</v>
      </c>
      <c r="B385" s="341" t="s">
        <v>136</v>
      </c>
      <c r="C385" s="351" t="s">
        <v>195</v>
      </c>
      <c r="D385" s="342">
        <v>80486.040003547401</v>
      </c>
      <c r="E385" s="342">
        <v>4366</v>
      </c>
      <c r="F385" s="342">
        <v>76120.040003547401</v>
      </c>
      <c r="G385" s="342">
        <v>43652.700045615398</v>
      </c>
      <c r="H385" s="342">
        <v>25145.499987632</v>
      </c>
      <c r="I385" s="342">
        <v>18507.200057983398</v>
      </c>
      <c r="J385" s="342">
        <v>8899.5200199410301</v>
      </c>
      <c r="K385" s="343">
        <v>34753.180025674366</v>
      </c>
      <c r="L385" s="342">
        <v>26387.710025787401</v>
      </c>
      <c r="M385" s="342">
        <v>55</v>
      </c>
      <c r="N385" s="354">
        <v>493</v>
      </c>
      <c r="O385" s="343">
        <v>163.25768763397039</v>
      </c>
      <c r="P385" s="343">
        <v>109.62135898125761</v>
      </c>
      <c r="Q385" s="343">
        <v>88.545030518489654</v>
      </c>
      <c r="R385" s="344">
        <v>0.54236362037058128</v>
      </c>
      <c r="S385" s="344">
        <v>0.96696978138095069</v>
      </c>
      <c r="T385" s="343">
        <v>68123.989999999991</v>
      </c>
      <c r="U385" s="342">
        <v>54100.689999999995</v>
      </c>
      <c r="V385" s="342">
        <v>1805.59</v>
      </c>
      <c r="W385" s="344">
        <f t="shared" si="53"/>
        <v>3.3374620545505058E-2</v>
      </c>
      <c r="X385" s="342">
        <v>801.14</v>
      </c>
      <c r="Y385" s="344">
        <f t="shared" si="54"/>
        <v>1.4808313905053707E-2</v>
      </c>
      <c r="Z385" s="342">
        <v>1080.29</v>
      </c>
      <c r="AA385" s="344">
        <f t="shared" si="47"/>
        <v>1.9968137190117169E-2</v>
      </c>
      <c r="AB385" s="342">
        <v>79.010000000000005</v>
      </c>
      <c r="AC385" s="344">
        <f t="shared" si="55"/>
        <v>1.4604249964279572E-3</v>
      </c>
      <c r="AD385" s="342">
        <v>14023.3</v>
      </c>
      <c r="AE385" s="342">
        <v>2850.68</v>
      </c>
      <c r="AF385" s="344">
        <f t="shared" si="48"/>
        <v>0.20328168120199952</v>
      </c>
      <c r="AG385" s="342">
        <v>1300.79</v>
      </c>
      <c r="AH385" s="344">
        <f t="shared" si="49"/>
        <v>9.2759193627748107E-2</v>
      </c>
      <c r="AI385" s="342">
        <v>1092.51</v>
      </c>
      <c r="AJ385" s="344">
        <f t="shared" si="50"/>
        <v>7.7906769447990132E-2</v>
      </c>
      <c r="AK385" s="342">
        <v>3372.03</v>
      </c>
      <c r="AL385" s="784">
        <f t="shared" si="51"/>
        <v>0.24045909308080127</v>
      </c>
      <c r="AM385" s="350">
        <v>26.479105801342516</v>
      </c>
      <c r="AN385" s="350">
        <v>21.959710735243235</v>
      </c>
      <c r="AO385" s="350">
        <v>128.52311608961304</v>
      </c>
      <c r="AP385" s="639">
        <f t="shared" si="52"/>
        <v>0.16467379089340672</v>
      </c>
    </row>
    <row r="386" spans="1:42" x14ac:dyDescent="0.2">
      <c r="A386" s="638">
        <v>42583</v>
      </c>
      <c r="B386" s="341" t="s">
        <v>136</v>
      </c>
      <c r="C386" s="351" t="s">
        <v>196</v>
      </c>
      <c r="D386" s="342">
        <v>87474.210001945496</v>
      </c>
      <c r="E386" s="342">
        <v>7197</v>
      </c>
      <c r="F386" s="342">
        <v>80277.210001945496</v>
      </c>
      <c r="G386" s="342">
        <v>57530.480169773102</v>
      </c>
      <c r="H386" s="342">
        <v>25551.8000097275</v>
      </c>
      <c r="I386" s="342">
        <v>31978.680160045598</v>
      </c>
      <c r="J386" s="342">
        <v>6493.9300205707596</v>
      </c>
      <c r="K386" s="343">
        <v>51036.55014920234</v>
      </c>
      <c r="L386" s="342">
        <v>30978.590007782001</v>
      </c>
      <c r="M386" s="342">
        <v>35</v>
      </c>
      <c r="N386" s="354">
        <v>538</v>
      </c>
      <c r="O386" s="343">
        <v>162.59146840510314</v>
      </c>
      <c r="P386" s="343">
        <v>104.94539032372397</v>
      </c>
      <c r="Q386" s="343">
        <v>106.93397801073067</v>
      </c>
      <c r="R386" s="344">
        <v>0.65768504989634746</v>
      </c>
      <c r="S386" s="344">
        <v>1.1513766511285379</v>
      </c>
      <c r="T386" s="343">
        <v>67474.429999999993</v>
      </c>
      <c r="U386" s="342">
        <v>55385.75</v>
      </c>
      <c r="V386" s="342">
        <v>1619.29</v>
      </c>
      <c r="W386" s="344">
        <f t="shared" si="53"/>
        <v>2.923658161169615E-2</v>
      </c>
      <c r="X386" s="342">
        <v>1161.8800000000001</v>
      </c>
      <c r="Y386" s="344">
        <f t="shared" si="54"/>
        <v>2.0977959132087227E-2</v>
      </c>
      <c r="Z386" s="342">
        <v>1310.25</v>
      </c>
      <c r="AA386" s="344">
        <f t="shared" ref="AA386:AA449" si="56">IFERROR(Z386/U386,"0.00"%)</f>
        <v>2.36568070306893E-2</v>
      </c>
      <c r="AB386" s="342">
        <v>0</v>
      </c>
      <c r="AC386" s="344">
        <f t="shared" si="55"/>
        <v>0</v>
      </c>
      <c r="AD386" s="342">
        <v>12088.68</v>
      </c>
      <c r="AE386" s="342">
        <v>2798.68</v>
      </c>
      <c r="AF386" s="344">
        <f t="shared" ref="AF386:AF449" si="57">IFERROR(AE386/AD386,"0.00%")</f>
        <v>0.23151245628141368</v>
      </c>
      <c r="AG386" s="342">
        <v>2776.37</v>
      </c>
      <c r="AH386" s="344">
        <f t="shared" ref="AH386:AH449" si="58">IFERROR(AG386/AD386,"0.00%")</f>
        <v>0.22966692806824235</v>
      </c>
      <c r="AI386" s="342">
        <v>1176.52</v>
      </c>
      <c r="AJ386" s="344">
        <f t="shared" ref="AJ386:AJ449" si="59">IFERROR(AI386/AD386,"0.00"%)</f>
        <v>9.7324108173928003E-2</v>
      </c>
      <c r="AK386" s="342">
        <v>123.04</v>
      </c>
      <c r="AL386" s="784">
        <f t="shared" ref="AL386:AL449" si="60">IFERROR(AK386/AD386,"0.00%")</f>
        <v>1.0178117048346057E-2</v>
      </c>
      <c r="AM386" s="350">
        <v>22.063727187027787</v>
      </c>
      <c r="AN386" s="350">
        <v>19.387754466417679</v>
      </c>
      <c r="AO386" s="350">
        <v>60.016615180935574</v>
      </c>
      <c r="AP386" s="639">
        <f t="shared" ref="AP386:AP449" si="61">IFERROR(J386/(D386-L386-M386),"0.00%")</f>
        <v>0.1150169803527141</v>
      </c>
    </row>
    <row r="387" spans="1:42" x14ac:dyDescent="0.2">
      <c r="A387" s="638">
        <v>42583</v>
      </c>
      <c r="B387" s="341" t="s">
        <v>136</v>
      </c>
      <c r="C387" s="351" t="s">
        <v>290</v>
      </c>
      <c r="D387" s="342">
        <v>65636.9300000761</v>
      </c>
      <c r="E387" s="342">
        <v>5351</v>
      </c>
      <c r="F387" s="342">
        <v>60285.9300000761</v>
      </c>
      <c r="G387" s="342">
        <v>35725.38007164</v>
      </c>
      <c r="H387" s="342">
        <v>16485.900015831001</v>
      </c>
      <c r="I387" s="342">
        <v>19239.480055808999</v>
      </c>
      <c r="J387" s="342">
        <v>2948.1700019836398</v>
      </c>
      <c r="K387" s="343">
        <v>32777.210069656358</v>
      </c>
      <c r="L387" s="342">
        <v>21299.7400169373</v>
      </c>
      <c r="M387" s="342">
        <v>0</v>
      </c>
      <c r="N387" s="354">
        <v>368</v>
      </c>
      <c r="O387" s="343">
        <v>178.36122282629375</v>
      </c>
      <c r="P387" s="343">
        <v>120.48149451939891</v>
      </c>
      <c r="Q387" s="343">
        <v>97.079837151195647</v>
      </c>
      <c r="R387" s="344">
        <v>0.54428779761025659</v>
      </c>
      <c r="S387" s="344">
        <v>0.86316081143999379</v>
      </c>
      <c r="T387" s="343">
        <v>48127.5</v>
      </c>
      <c r="U387" s="342">
        <v>42160.19</v>
      </c>
      <c r="V387" s="342">
        <v>216.73</v>
      </c>
      <c r="W387" s="344">
        <f t="shared" ref="W387:W450" si="62">IFERROR(V387/U387,"0.00%")</f>
        <v>5.1406314819738711E-3</v>
      </c>
      <c r="X387" s="342">
        <v>0</v>
      </c>
      <c r="Y387" s="344">
        <f t="shared" ref="Y387:Y450" si="63">IFERROR(X387/U387,"0.00%")</f>
        <v>0</v>
      </c>
      <c r="Z387" s="342">
        <v>0</v>
      </c>
      <c r="AA387" s="344">
        <f t="shared" si="56"/>
        <v>0</v>
      </c>
      <c r="AB387" s="342">
        <v>0</v>
      </c>
      <c r="AC387" s="344">
        <f t="shared" ref="AC387:AC450" si="64">IFERROR(AB387/U387,"0.00%")</f>
        <v>0</v>
      </c>
      <c r="AD387" s="342">
        <v>5967.31</v>
      </c>
      <c r="AE387" s="342">
        <v>676.75</v>
      </c>
      <c r="AF387" s="344">
        <f t="shared" si="57"/>
        <v>0.11340955975137876</v>
      </c>
      <c r="AG387" s="342">
        <v>0</v>
      </c>
      <c r="AH387" s="344">
        <f t="shared" si="58"/>
        <v>0</v>
      </c>
      <c r="AI387" s="342">
        <v>0</v>
      </c>
      <c r="AJ387" s="344">
        <f t="shared" si="59"/>
        <v>0</v>
      </c>
      <c r="AK387" s="342">
        <v>0</v>
      </c>
      <c r="AL387" s="784">
        <f t="shared" si="60"/>
        <v>0</v>
      </c>
      <c r="AM387" s="350">
        <v>24.193098400258641</v>
      </c>
      <c r="AN387" s="350">
        <v>22.977718846387084</v>
      </c>
      <c r="AO387" s="350">
        <v>38.628921815435518</v>
      </c>
      <c r="AP387" s="639">
        <f t="shared" si="61"/>
        <v>6.6494290754664731E-2</v>
      </c>
    </row>
    <row r="388" spans="1:42" x14ac:dyDescent="0.2">
      <c r="A388" s="638">
        <v>42583</v>
      </c>
      <c r="B388" s="341" t="s">
        <v>137</v>
      </c>
      <c r="C388" s="351" t="s">
        <v>209</v>
      </c>
      <c r="D388" s="342">
        <v>63735.6900053024</v>
      </c>
      <c r="E388" s="342">
        <v>5419</v>
      </c>
      <c r="F388" s="342">
        <v>58316.6900053024</v>
      </c>
      <c r="G388" s="342">
        <v>39412.410053729996</v>
      </c>
      <c r="H388" s="342">
        <v>18772.310001850099</v>
      </c>
      <c r="I388" s="342">
        <v>20640.100051879901</v>
      </c>
      <c r="J388" s="342">
        <v>5346.93999180011</v>
      </c>
      <c r="K388" s="343">
        <v>34065.470061929889</v>
      </c>
      <c r="L388" s="342">
        <v>20580.049970626798</v>
      </c>
      <c r="M388" s="342">
        <v>-37.470000267027999</v>
      </c>
      <c r="N388" s="354">
        <v>331</v>
      </c>
      <c r="O388" s="343">
        <v>192.55495469879878</v>
      </c>
      <c r="P388" s="343">
        <v>130.49277956176022</v>
      </c>
      <c r="Q388" s="343">
        <v>119.07072523785497</v>
      </c>
      <c r="R388" s="344">
        <v>0.61837268962572045</v>
      </c>
      <c r="S388" s="344">
        <v>1.0413843728124155</v>
      </c>
      <c r="T388" s="343">
        <v>52302.210000000006</v>
      </c>
      <c r="U388" s="342">
        <v>42029.98</v>
      </c>
      <c r="V388" s="342">
        <v>1244.44</v>
      </c>
      <c r="W388" s="344">
        <f t="shared" si="62"/>
        <v>2.960838905942853E-2</v>
      </c>
      <c r="X388" s="342">
        <v>2174.48</v>
      </c>
      <c r="Y388" s="344">
        <f t="shared" si="63"/>
        <v>5.1736403395861712E-2</v>
      </c>
      <c r="Z388" s="342">
        <v>851.78</v>
      </c>
      <c r="AA388" s="344">
        <f t="shared" si="56"/>
        <v>2.026601011944331E-2</v>
      </c>
      <c r="AB388" s="342">
        <v>677.43</v>
      </c>
      <c r="AC388" s="344">
        <f t="shared" si="64"/>
        <v>1.6117780688927281E-2</v>
      </c>
      <c r="AD388" s="342">
        <v>10272.23</v>
      </c>
      <c r="AE388" s="342">
        <v>1219.17</v>
      </c>
      <c r="AF388" s="344">
        <f t="shared" si="57"/>
        <v>0.11868601072989994</v>
      </c>
      <c r="AG388" s="342">
        <v>1999.7</v>
      </c>
      <c r="AH388" s="344">
        <f t="shared" si="58"/>
        <v>0.19467048537659301</v>
      </c>
      <c r="AI388" s="342">
        <v>1723.6</v>
      </c>
      <c r="AJ388" s="344">
        <f t="shared" si="59"/>
        <v>0.16779219312651683</v>
      </c>
      <c r="AK388" s="342">
        <v>948.73</v>
      </c>
      <c r="AL388" s="784">
        <f t="shared" si="60"/>
        <v>9.2358718603458068E-2</v>
      </c>
      <c r="AM388" s="350">
        <v>24.629240940503962</v>
      </c>
      <c r="AN388" s="350">
        <v>21.348576932261633</v>
      </c>
      <c r="AO388" s="350">
        <v>66.343789020452093</v>
      </c>
      <c r="AP388" s="639">
        <f t="shared" si="61"/>
        <v>0.1237915025677593</v>
      </c>
    </row>
    <row r="389" spans="1:42" x14ac:dyDescent="0.2">
      <c r="A389" s="638">
        <v>42583</v>
      </c>
      <c r="B389" s="341" t="s">
        <v>137</v>
      </c>
      <c r="C389" s="351" t="s">
        <v>197</v>
      </c>
      <c r="D389" s="342">
        <v>160434.170005322</v>
      </c>
      <c r="E389" s="342">
        <v>10025</v>
      </c>
      <c r="F389" s="342">
        <v>150409.170005322</v>
      </c>
      <c r="G389" s="342">
        <v>94627.770078092799</v>
      </c>
      <c r="H389" s="342">
        <v>45451.5999721587</v>
      </c>
      <c r="I389" s="342">
        <v>49176.170105934099</v>
      </c>
      <c r="J389" s="342">
        <v>18277.800040978898</v>
      </c>
      <c r="K389" s="343">
        <v>76349.970037113904</v>
      </c>
      <c r="L389" s="342">
        <v>51732.890024512999</v>
      </c>
      <c r="M389" s="342">
        <v>2439</v>
      </c>
      <c r="N389" s="354">
        <v>810</v>
      </c>
      <c r="O389" s="343">
        <v>198.06687654978023</v>
      </c>
      <c r="P389" s="343">
        <v>131.1879999763074</v>
      </c>
      <c r="Q389" s="343">
        <v>116.82440750381826</v>
      </c>
      <c r="R389" s="344">
        <v>0.58982304128200225</v>
      </c>
      <c r="S389" s="344">
        <v>1.0755052498213986</v>
      </c>
      <c r="T389" s="343">
        <v>161212.84000000003</v>
      </c>
      <c r="U389" s="342">
        <v>132248.90000000002</v>
      </c>
      <c r="V389" s="342">
        <v>8414.4500000000007</v>
      </c>
      <c r="W389" s="344">
        <f t="shared" si="62"/>
        <v>6.3625860026056927E-2</v>
      </c>
      <c r="X389" s="342">
        <v>5069.08</v>
      </c>
      <c r="Y389" s="344">
        <f t="shared" si="63"/>
        <v>3.8329846221783315E-2</v>
      </c>
      <c r="Z389" s="342">
        <v>7294.99</v>
      </c>
      <c r="AA389" s="344">
        <f t="shared" si="56"/>
        <v>5.5161063721512985E-2</v>
      </c>
      <c r="AB389" s="342">
        <v>9522.9599999999991</v>
      </c>
      <c r="AC389" s="344">
        <f t="shared" si="64"/>
        <v>7.2007857910349332E-2</v>
      </c>
      <c r="AD389" s="342">
        <v>28963.94</v>
      </c>
      <c r="AE389" s="342">
        <v>2611.36</v>
      </c>
      <c r="AF389" s="344">
        <f t="shared" si="57"/>
        <v>9.0159004610560589E-2</v>
      </c>
      <c r="AG389" s="342">
        <v>3071.39</v>
      </c>
      <c r="AH389" s="344">
        <f t="shared" si="58"/>
        <v>0.10604185756495836</v>
      </c>
      <c r="AI389" s="342">
        <v>3665.75</v>
      </c>
      <c r="AJ389" s="344">
        <f t="shared" si="59"/>
        <v>0.1265625463938953</v>
      </c>
      <c r="AK389" s="342">
        <v>9506.58</v>
      </c>
      <c r="AL389" s="784">
        <f t="shared" si="60"/>
        <v>0.32822122957028638</v>
      </c>
      <c r="AM389" s="350">
        <v>31.252234012497098</v>
      </c>
      <c r="AN389" s="350">
        <v>27.148411798919319</v>
      </c>
      <c r="AO389" s="350">
        <v>100.8805959752322</v>
      </c>
      <c r="AP389" s="639">
        <f t="shared" si="61"/>
        <v>0.17200647345680778</v>
      </c>
    </row>
    <row r="390" spans="1:42" x14ac:dyDescent="0.2">
      <c r="A390" s="638">
        <v>42583</v>
      </c>
      <c r="B390" s="341" t="s">
        <v>137</v>
      </c>
      <c r="C390" s="351" t="s">
        <v>198</v>
      </c>
      <c r="D390" s="342">
        <v>0</v>
      </c>
      <c r="E390" s="342">
        <v>0</v>
      </c>
      <c r="F390" s="342">
        <v>0</v>
      </c>
      <c r="G390" s="342">
        <v>0</v>
      </c>
      <c r="H390" s="342">
        <v>0</v>
      </c>
      <c r="I390" s="342">
        <v>0</v>
      </c>
      <c r="J390" s="342">
        <v>0</v>
      </c>
      <c r="K390" s="343">
        <v>0</v>
      </c>
      <c r="L390" s="342">
        <v>0</v>
      </c>
      <c r="M390" s="342">
        <v>0</v>
      </c>
      <c r="N390" s="354">
        <v>0</v>
      </c>
      <c r="O390" s="343" t="s">
        <v>311</v>
      </c>
      <c r="P390" s="343" t="s">
        <v>311</v>
      </c>
      <c r="Q390" s="343" t="s">
        <v>311</v>
      </c>
      <c r="R390" s="344" t="s">
        <v>312</v>
      </c>
      <c r="S390" s="344" t="s">
        <v>312</v>
      </c>
      <c r="T390" s="343">
        <v>0</v>
      </c>
      <c r="U390" s="342">
        <v>0</v>
      </c>
      <c r="V390" s="342">
        <v>0</v>
      </c>
      <c r="W390" s="344" t="str">
        <f t="shared" si="62"/>
        <v>0.00%</v>
      </c>
      <c r="X390" s="342">
        <v>0</v>
      </c>
      <c r="Y390" s="344" t="str">
        <f t="shared" si="63"/>
        <v>0.00%</v>
      </c>
      <c r="Z390" s="342">
        <v>0</v>
      </c>
      <c r="AA390" s="344">
        <f t="shared" si="56"/>
        <v>0</v>
      </c>
      <c r="AB390" s="342">
        <v>0</v>
      </c>
      <c r="AC390" s="344" t="str">
        <f t="shared" si="64"/>
        <v>0.00%</v>
      </c>
      <c r="AD390" s="342">
        <v>0</v>
      </c>
      <c r="AE390" s="342">
        <v>0</v>
      </c>
      <c r="AF390" s="344" t="str">
        <f t="shared" si="57"/>
        <v>0.00%</v>
      </c>
      <c r="AG390" s="342">
        <v>0</v>
      </c>
      <c r="AH390" s="344" t="str">
        <f t="shared" si="58"/>
        <v>0.00%</v>
      </c>
      <c r="AI390" s="342">
        <v>0</v>
      </c>
      <c r="AJ390" s="344">
        <f t="shared" si="59"/>
        <v>0</v>
      </c>
      <c r="AK390" s="342">
        <v>0</v>
      </c>
      <c r="AL390" s="784" t="str">
        <f t="shared" si="60"/>
        <v>0.00%</v>
      </c>
      <c r="AM390" s="350">
        <v>0</v>
      </c>
      <c r="AN390" s="350">
        <v>0</v>
      </c>
      <c r="AO390" s="350">
        <v>0</v>
      </c>
      <c r="AP390" s="639" t="str">
        <f t="shared" si="61"/>
        <v>0.00%</v>
      </c>
    </row>
    <row r="391" spans="1:42" x14ac:dyDescent="0.2">
      <c r="A391" s="638">
        <v>42583</v>
      </c>
      <c r="B391" s="341" t="s">
        <v>137</v>
      </c>
      <c r="C391" s="351" t="s">
        <v>199</v>
      </c>
      <c r="D391" s="342">
        <v>185702.740011785</v>
      </c>
      <c r="E391" s="342">
        <v>20153</v>
      </c>
      <c r="F391" s="342">
        <v>165549.740011785</v>
      </c>
      <c r="G391" s="342">
        <v>125986.690180123</v>
      </c>
      <c r="H391" s="342">
        <v>64667.030114233501</v>
      </c>
      <c r="I391" s="342">
        <v>61319.660065889402</v>
      </c>
      <c r="J391" s="342">
        <v>26857.680024378002</v>
      </c>
      <c r="K391" s="343">
        <v>99129.010155744909</v>
      </c>
      <c r="L391" s="342">
        <v>55925.5999904778</v>
      </c>
      <c r="M391" s="342">
        <v>549.77000045776401</v>
      </c>
      <c r="N391" s="354">
        <v>1196</v>
      </c>
      <c r="O391" s="343">
        <v>155.26984950818144</v>
      </c>
      <c r="P391" s="343">
        <v>108.04964048566006</v>
      </c>
      <c r="Q391" s="343">
        <v>105.3400419566245</v>
      </c>
      <c r="R391" s="344">
        <v>0.67843204775614829</v>
      </c>
      <c r="S391" s="344">
        <v>1.2307030546294075</v>
      </c>
      <c r="T391" s="343">
        <v>203040.36</v>
      </c>
      <c r="U391" s="342">
        <v>153548.18</v>
      </c>
      <c r="V391" s="342">
        <v>5337.91</v>
      </c>
      <c r="W391" s="344">
        <f t="shared" si="62"/>
        <v>3.4763746467069818E-2</v>
      </c>
      <c r="X391" s="342">
        <v>2851.93</v>
      </c>
      <c r="Y391" s="344">
        <f t="shared" si="63"/>
        <v>1.8573518748317305E-2</v>
      </c>
      <c r="Z391" s="342">
        <v>2764.48</v>
      </c>
      <c r="AA391" s="344">
        <f t="shared" si="56"/>
        <v>1.8003990669247922E-2</v>
      </c>
      <c r="AB391" s="342">
        <v>12641.28</v>
      </c>
      <c r="AC391" s="344">
        <f t="shared" si="64"/>
        <v>8.2327774904267847E-2</v>
      </c>
      <c r="AD391" s="342">
        <v>49492.18</v>
      </c>
      <c r="AE391" s="342">
        <v>4464.83</v>
      </c>
      <c r="AF391" s="344">
        <f t="shared" si="57"/>
        <v>9.0212837664455273E-2</v>
      </c>
      <c r="AG391" s="342">
        <v>4524.32</v>
      </c>
      <c r="AH391" s="344">
        <f t="shared" si="58"/>
        <v>9.1414845739266282E-2</v>
      </c>
      <c r="AI391" s="342">
        <v>3736.77</v>
      </c>
      <c r="AJ391" s="344">
        <f t="shared" si="59"/>
        <v>7.5502230857480923E-2</v>
      </c>
      <c r="AK391" s="342">
        <v>27419.14</v>
      </c>
      <c r="AL391" s="784">
        <f t="shared" si="60"/>
        <v>0.55400954251762602</v>
      </c>
      <c r="AM391" s="350">
        <v>30.556045091465361</v>
      </c>
      <c r="AN391" s="350">
        <v>24.86196082355152</v>
      </c>
      <c r="AO391" s="350">
        <v>105.56705218751482</v>
      </c>
      <c r="AP391" s="639">
        <f t="shared" si="61"/>
        <v>0.20783275261304787</v>
      </c>
    </row>
    <row r="392" spans="1:42" x14ac:dyDescent="0.2">
      <c r="A392" s="638">
        <v>42583</v>
      </c>
      <c r="B392" s="341" t="s">
        <v>137</v>
      </c>
      <c r="C392" s="351" t="s">
        <v>200</v>
      </c>
      <c r="D392" s="342">
        <v>0</v>
      </c>
      <c r="E392" s="342">
        <v>0</v>
      </c>
      <c r="F392" s="342">
        <v>0</v>
      </c>
      <c r="G392" s="342">
        <v>0</v>
      </c>
      <c r="H392" s="342">
        <v>0</v>
      </c>
      <c r="I392" s="342">
        <v>0</v>
      </c>
      <c r="J392" s="342">
        <v>25.009999999775999</v>
      </c>
      <c r="K392" s="343">
        <v>-25.009999999775999</v>
      </c>
      <c r="L392" s="342">
        <v>0</v>
      </c>
      <c r="M392" s="342">
        <v>22.010000228881001</v>
      </c>
      <c r="N392" s="354">
        <v>0</v>
      </c>
      <c r="O392" s="343" t="s">
        <v>311</v>
      </c>
      <c r="P392" s="343" t="s">
        <v>311</v>
      </c>
      <c r="Q392" s="343" t="s">
        <v>311</v>
      </c>
      <c r="R392" s="344" t="s">
        <v>312</v>
      </c>
      <c r="S392" s="344">
        <v>0</v>
      </c>
      <c r="T392" s="343">
        <v>-75</v>
      </c>
      <c r="U392" s="342">
        <v>-25</v>
      </c>
      <c r="V392" s="342">
        <v>0</v>
      </c>
      <c r="W392" s="344">
        <v>0</v>
      </c>
      <c r="X392" s="342">
        <v>0</v>
      </c>
      <c r="Y392" s="344">
        <f t="shared" si="63"/>
        <v>0</v>
      </c>
      <c r="Z392" s="342">
        <v>0</v>
      </c>
      <c r="AA392" s="344">
        <f t="shared" si="56"/>
        <v>0</v>
      </c>
      <c r="AB392" s="342">
        <v>-25</v>
      </c>
      <c r="AC392" s="344">
        <v>0</v>
      </c>
      <c r="AD392" s="342">
        <v>-50</v>
      </c>
      <c r="AE392" s="342">
        <v>0</v>
      </c>
      <c r="AF392" s="344">
        <f t="shared" si="57"/>
        <v>0</v>
      </c>
      <c r="AG392" s="342">
        <v>0</v>
      </c>
      <c r="AH392" s="344">
        <f t="shared" si="58"/>
        <v>0</v>
      </c>
      <c r="AI392" s="342">
        <v>0</v>
      </c>
      <c r="AJ392" s="344">
        <f t="shared" si="59"/>
        <v>0</v>
      </c>
      <c r="AK392" s="342">
        <v>-50</v>
      </c>
      <c r="AL392" s="784">
        <f t="shared" si="60"/>
        <v>1</v>
      </c>
      <c r="AM392" s="350">
        <v>0</v>
      </c>
      <c r="AN392" s="350">
        <v>0</v>
      </c>
      <c r="AO392" s="350">
        <v>0</v>
      </c>
      <c r="AP392" s="639">
        <f t="shared" si="61"/>
        <v>-1.1363016692275392</v>
      </c>
    </row>
    <row r="393" spans="1:42" x14ac:dyDescent="0.2">
      <c r="A393" s="638">
        <v>42583</v>
      </c>
      <c r="B393" s="341" t="s">
        <v>137</v>
      </c>
      <c r="C393" s="351" t="s">
        <v>201</v>
      </c>
      <c r="D393" s="342">
        <v>224370.59000562099</v>
      </c>
      <c r="E393" s="342">
        <v>17258.7899999619</v>
      </c>
      <c r="F393" s="342">
        <v>207111.800005659</v>
      </c>
      <c r="G393" s="342">
        <v>148277.059920339</v>
      </c>
      <c r="H393" s="342">
        <v>92862.3998234272</v>
      </c>
      <c r="I393" s="342">
        <v>55414.660096911699</v>
      </c>
      <c r="J393" s="342">
        <v>21973.850041292601</v>
      </c>
      <c r="K393" s="343">
        <v>126303.20987904631</v>
      </c>
      <c r="L393" s="342">
        <v>79397.790150165602</v>
      </c>
      <c r="M393" s="342">
        <v>358.579999923706</v>
      </c>
      <c r="N393" s="354">
        <v>1270</v>
      </c>
      <c r="O393" s="343">
        <v>176.66975590993772</v>
      </c>
      <c r="P393" s="343">
        <v>113.86946445317447</v>
      </c>
      <c r="Q393" s="343">
        <v>116.75359048845584</v>
      </c>
      <c r="R393" s="344">
        <v>0.66085782417661909</v>
      </c>
      <c r="S393" s="344">
        <v>1.2090395694739942</v>
      </c>
      <c r="T393" s="343">
        <v>297944.99</v>
      </c>
      <c r="U393" s="342">
        <v>223372.66999999998</v>
      </c>
      <c r="V393" s="342">
        <v>10341.629999999999</v>
      </c>
      <c r="W393" s="344">
        <f t="shared" si="62"/>
        <v>4.629765136442162E-2</v>
      </c>
      <c r="X393" s="342">
        <v>4175.2299999999996</v>
      </c>
      <c r="Y393" s="344">
        <f t="shared" si="63"/>
        <v>1.8691767439588738E-2</v>
      </c>
      <c r="Z393" s="342">
        <v>3648.41</v>
      </c>
      <c r="AA393" s="344">
        <f t="shared" si="56"/>
        <v>1.6333287326511341E-2</v>
      </c>
      <c r="AB393" s="342">
        <v>23965.58</v>
      </c>
      <c r="AC393" s="344">
        <f t="shared" si="64"/>
        <v>0.10728966977025436</v>
      </c>
      <c r="AD393" s="342">
        <v>74572.320000000007</v>
      </c>
      <c r="AE393" s="342">
        <v>5830.09</v>
      </c>
      <c r="AF393" s="344">
        <f t="shared" si="57"/>
        <v>7.8180348955215542E-2</v>
      </c>
      <c r="AG393" s="342">
        <v>7651.68</v>
      </c>
      <c r="AH393" s="344">
        <f t="shared" si="58"/>
        <v>0.10260750905966182</v>
      </c>
      <c r="AI393" s="342">
        <v>7611.06</v>
      </c>
      <c r="AJ393" s="344">
        <f t="shared" si="59"/>
        <v>0.10206280292741328</v>
      </c>
      <c r="AK393" s="342">
        <v>41390.22</v>
      </c>
      <c r="AL393" s="784">
        <f t="shared" si="60"/>
        <v>0.55503462947109594</v>
      </c>
      <c r="AM393" s="350">
        <v>38.099807986212866</v>
      </c>
      <c r="AN393" s="350">
        <v>29.95771743398565</v>
      </c>
      <c r="AO393" s="350">
        <v>204.95165480365586</v>
      </c>
      <c r="AP393" s="639">
        <f t="shared" si="61"/>
        <v>0.1519480592105277</v>
      </c>
    </row>
    <row r="394" spans="1:42" x14ac:dyDescent="0.2">
      <c r="A394" s="638">
        <v>42583</v>
      </c>
      <c r="B394" s="341" t="s">
        <v>137</v>
      </c>
      <c r="C394" s="351" t="s">
        <v>202</v>
      </c>
      <c r="D394" s="342">
        <v>0</v>
      </c>
      <c r="E394" s="342">
        <v>0</v>
      </c>
      <c r="F394" s="342">
        <v>0</v>
      </c>
      <c r="G394" s="342">
        <v>0</v>
      </c>
      <c r="H394" s="342">
        <v>0</v>
      </c>
      <c r="I394" s="342">
        <v>0</v>
      </c>
      <c r="J394" s="342">
        <v>0</v>
      </c>
      <c r="K394" s="343">
        <v>0</v>
      </c>
      <c r="L394" s="342">
        <v>0</v>
      </c>
      <c r="M394" s="342">
        <v>0</v>
      </c>
      <c r="N394" s="354">
        <v>0</v>
      </c>
      <c r="O394" s="343" t="s">
        <v>311</v>
      </c>
      <c r="P394" s="343" t="s">
        <v>311</v>
      </c>
      <c r="Q394" s="343" t="s">
        <v>311</v>
      </c>
      <c r="R394" s="344" t="s">
        <v>312</v>
      </c>
      <c r="S394" s="344" t="s">
        <v>312</v>
      </c>
      <c r="T394" s="343">
        <v>0</v>
      </c>
      <c r="U394" s="342">
        <v>0</v>
      </c>
      <c r="V394" s="342">
        <v>0</v>
      </c>
      <c r="W394" s="344" t="str">
        <f t="shared" si="62"/>
        <v>0.00%</v>
      </c>
      <c r="X394" s="342">
        <v>0</v>
      </c>
      <c r="Y394" s="344" t="str">
        <f t="shared" si="63"/>
        <v>0.00%</v>
      </c>
      <c r="Z394" s="342">
        <v>0</v>
      </c>
      <c r="AA394" s="344">
        <f t="shared" si="56"/>
        <v>0</v>
      </c>
      <c r="AB394" s="342">
        <v>0</v>
      </c>
      <c r="AC394" s="344" t="str">
        <f t="shared" si="64"/>
        <v>0.00%</v>
      </c>
      <c r="AD394" s="342">
        <v>0</v>
      </c>
      <c r="AE394" s="342">
        <v>0</v>
      </c>
      <c r="AF394" s="344" t="str">
        <f t="shared" si="57"/>
        <v>0.00%</v>
      </c>
      <c r="AG394" s="342">
        <v>0</v>
      </c>
      <c r="AH394" s="344" t="str">
        <f t="shared" si="58"/>
        <v>0.00%</v>
      </c>
      <c r="AI394" s="342">
        <v>0</v>
      </c>
      <c r="AJ394" s="344">
        <f t="shared" si="59"/>
        <v>0</v>
      </c>
      <c r="AK394" s="342">
        <v>0</v>
      </c>
      <c r="AL394" s="784" t="str">
        <f t="shared" si="60"/>
        <v>0.00%</v>
      </c>
      <c r="AM394" s="350">
        <v>0</v>
      </c>
      <c r="AN394" s="350">
        <v>0</v>
      </c>
      <c r="AO394" s="350">
        <v>0</v>
      </c>
      <c r="AP394" s="639" t="str">
        <f t="shared" si="61"/>
        <v>0.00%</v>
      </c>
    </row>
    <row r="395" spans="1:42" x14ac:dyDescent="0.2">
      <c r="A395" s="638">
        <v>42583</v>
      </c>
      <c r="B395" s="341" t="s">
        <v>137</v>
      </c>
      <c r="C395" s="351" t="s">
        <v>203</v>
      </c>
      <c r="D395" s="342">
        <v>151502.590009993</v>
      </c>
      <c r="E395" s="342">
        <v>14274</v>
      </c>
      <c r="F395" s="342">
        <v>137228.590009993</v>
      </c>
      <c r="G395" s="342">
        <v>98838.600197792097</v>
      </c>
      <c r="H395" s="342">
        <v>47480.440109729803</v>
      </c>
      <c r="I395" s="342">
        <v>51358.160088062301</v>
      </c>
      <c r="J395" s="342">
        <v>18219.530006567002</v>
      </c>
      <c r="K395" s="343">
        <v>80619.07019122511</v>
      </c>
      <c r="L395" s="342">
        <v>44485.400033950798</v>
      </c>
      <c r="M395" s="342">
        <v>351.23000335693399</v>
      </c>
      <c r="N395" s="354">
        <v>1042</v>
      </c>
      <c r="O395" s="343">
        <v>145.39595970248848</v>
      </c>
      <c r="P395" s="343">
        <v>102.36656427321043</v>
      </c>
      <c r="Q395" s="343">
        <v>94.854702685021223</v>
      </c>
      <c r="R395" s="344">
        <v>0.65238884821225029</v>
      </c>
      <c r="S395" s="344">
        <v>1.1174967744391135</v>
      </c>
      <c r="T395" s="343">
        <v>164936.72</v>
      </c>
      <c r="U395" s="342">
        <v>128506.54</v>
      </c>
      <c r="V395" s="342">
        <v>5621.46</v>
      </c>
      <c r="W395" s="344">
        <f t="shared" si="62"/>
        <v>4.3744544051999221E-2</v>
      </c>
      <c r="X395" s="342">
        <v>3052.93</v>
      </c>
      <c r="Y395" s="344">
        <f t="shared" si="63"/>
        <v>2.3757001005551934E-2</v>
      </c>
      <c r="Z395" s="342">
        <v>2188.5500000000002</v>
      </c>
      <c r="AA395" s="344">
        <f t="shared" si="56"/>
        <v>1.7030650735752439E-2</v>
      </c>
      <c r="AB395" s="342">
        <v>11162.13</v>
      </c>
      <c r="AC395" s="344">
        <f t="shared" si="64"/>
        <v>8.6860404147524314E-2</v>
      </c>
      <c r="AD395" s="342">
        <v>36430.18</v>
      </c>
      <c r="AE395" s="342">
        <v>3474.14</v>
      </c>
      <c r="AF395" s="344">
        <f t="shared" si="57"/>
        <v>9.5364338029622686E-2</v>
      </c>
      <c r="AG395" s="342">
        <v>4224.2</v>
      </c>
      <c r="AH395" s="344">
        <f t="shared" si="58"/>
        <v>0.11595331123809983</v>
      </c>
      <c r="AI395" s="342">
        <v>1871.48</v>
      </c>
      <c r="AJ395" s="344">
        <f t="shared" si="59"/>
        <v>5.1371692371544694E-2</v>
      </c>
      <c r="AK395" s="342">
        <v>19654.330000000002</v>
      </c>
      <c r="AL395" s="784">
        <f t="shared" si="60"/>
        <v>0.5395068045230631</v>
      </c>
      <c r="AM395" s="350">
        <v>31.944663783952869</v>
      </c>
      <c r="AN395" s="350">
        <v>26.63457829555492</v>
      </c>
      <c r="AO395" s="350">
        <v>107.6541962174941</v>
      </c>
      <c r="AP395" s="639">
        <f t="shared" si="61"/>
        <v>0.17080922546642444</v>
      </c>
    </row>
    <row r="396" spans="1:42" x14ac:dyDescent="0.2">
      <c r="A396" s="638">
        <v>42583</v>
      </c>
      <c r="B396" s="341" t="s">
        <v>137</v>
      </c>
      <c r="C396" s="351" t="s">
        <v>204</v>
      </c>
      <c r="D396" s="342">
        <v>57994.020002841899</v>
      </c>
      <c r="E396" s="342">
        <v>3622</v>
      </c>
      <c r="F396" s="342">
        <v>54372.020002841899</v>
      </c>
      <c r="G396" s="342">
        <v>37662.650051593802</v>
      </c>
      <c r="H396" s="342">
        <v>20241.259989738501</v>
      </c>
      <c r="I396" s="342">
        <v>17421.390061855302</v>
      </c>
      <c r="J396" s="342">
        <v>5092.2800009846696</v>
      </c>
      <c r="K396" s="343">
        <v>32570.370050609134</v>
      </c>
      <c r="L396" s="342">
        <v>19025.639978170399</v>
      </c>
      <c r="M396" s="342">
        <v>-144.14999961852999</v>
      </c>
      <c r="N396" s="354">
        <v>398</v>
      </c>
      <c r="O396" s="343">
        <v>145.7136180975927</v>
      </c>
      <c r="P396" s="343">
        <v>98.27268850324127</v>
      </c>
      <c r="Q396" s="343">
        <v>94.629773998979402</v>
      </c>
      <c r="R396" s="344">
        <v>0.64942299309046359</v>
      </c>
      <c r="S396" s="344">
        <v>1.1070656454844758</v>
      </c>
      <c r="T396" s="343">
        <v>53766.850000000006</v>
      </c>
      <c r="U396" s="342">
        <v>41120.590000000004</v>
      </c>
      <c r="V396" s="342">
        <v>953.37</v>
      </c>
      <c r="W396" s="344">
        <f t="shared" si="62"/>
        <v>2.3184735433027587E-2</v>
      </c>
      <c r="X396" s="342">
        <v>621.47</v>
      </c>
      <c r="Y396" s="344">
        <f t="shared" si="63"/>
        <v>1.5113353188755316E-2</v>
      </c>
      <c r="Z396" s="342">
        <v>1107.17</v>
      </c>
      <c r="AA396" s="344">
        <f t="shared" si="56"/>
        <v>2.6924954140979007E-2</v>
      </c>
      <c r="AB396" s="342">
        <v>729.47</v>
      </c>
      <c r="AC396" s="344">
        <f t="shared" si="64"/>
        <v>1.7739774648175038E-2</v>
      </c>
      <c r="AD396" s="342">
        <v>12646.26</v>
      </c>
      <c r="AE396" s="342">
        <v>813.2</v>
      </c>
      <c r="AF396" s="344">
        <f t="shared" si="57"/>
        <v>6.4303596478326397E-2</v>
      </c>
      <c r="AG396" s="342">
        <v>2205.46</v>
      </c>
      <c r="AH396" s="344">
        <f t="shared" si="58"/>
        <v>0.17439622465456189</v>
      </c>
      <c r="AI396" s="342">
        <v>2449.31</v>
      </c>
      <c r="AJ396" s="344">
        <f t="shared" si="59"/>
        <v>0.19367860537423712</v>
      </c>
      <c r="AK396" s="342">
        <v>4133.03</v>
      </c>
      <c r="AL396" s="784">
        <f t="shared" si="60"/>
        <v>0.32681836369013445</v>
      </c>
      <c r="AM396" s="350">
        <v>27.526896797018267</v>
      </c>
      <c r="AN396" s="350">
        <v>22.550186056136656</v>
      </c>
      <c r="AO396" s="350">
        <v>97.478879753340181</v>
      </c>
      <c r="AP396" s="639">
        <f t="shared" si="61"/>
        <v>0.13019561756353309</v>
      </c>
    </row>
    <row r="397" spans="1:42" x14ac:dyDescent="0.2">
      <c r="A397" s="638">
        <v>42583</v>
      </c>
      <c r="B397" s="341" t="s">
        <v>137</v>
      </c>
      <c r="C397" s="351" t="s">
        <v>205</v>
      </c>
      <c r="D397" s="342">
        <v>0</v>
      </c>
      <c r="E397" s="342">
        <v>0</v>
      </c>
      <c r="F397" s="342">
        <v>0</v>
      </c>
      <c r="G397" s="342">
        <v>0</v>
      </c>
      <c r="H397" s="342">
        <v>0</v>
      </c>
      <c r="I397" s="342">
        <v>0</v>
      </c>
      <c r="J397" s="342">
        <v>5</v>
      </c>
      <c r="K397" s="343">
        <v>-5</v>
      </c>
      <c r="L397" s="342">
        <v>0</v>
      </c>
      <c r="M397" s="342">
        <v>-205</v>
      </c>
      <c r="N397" s="354">
        <v>0</v>
      </c>
      <c r="O397" s="343" t="s">
        <v>311</v>
      </c>
      <c r="P397" s="343" t="s">
        <v>311</v>
      </c>
      <c r="Q397" s="343" t="s">
        <v>311</v>
      </c>
      <c r="R397" s="344" t="s">
        <v>312</v>
      </c>
      <c r="S397" s="344">
        <v>0</v>
      </c>
      <c r="T397" s="343">
        <v>-8.66</v>
      </c>
      <c r="U397" s="342">
        <v>0</v>
      </c>
      <c r="V397" s="342">
        <v>0</v>
      </c>
      <c r="W397" s="344" t="str">
        <f t="shared" si="62"/>
        <v>0.00%</v>
      </c>
      <c r="X397" s="342">
        <v>0</v>
      </c>
      <c r="Y397" s="344" t="str">
        <f t="shared" si="63"/>
        <v>0.00%</v>
      </c>
      <c r="Z397" s="342">
        <v>0</v>
      </c>
      <c r="AA397" s="344">
        <f t="shared" si="56"/>
        <v>0</v>
      </c>
      <c r="AB397" s="342">
        <v>0</v>
      </c>
      <c r="AC397" s="344" t="str">
        <f t="shared" si="64"/>
        <v>0.00%</v>
      </c>
      <c r="AD397" s="342">
        <v>-8.66</v>
      </c>
      <c r="AE397" s="342">
        <v>0</v>
      </c>
      <c r="AF397" s="344">
        <f t="shared" si="57"/>
        <v>0</v>
      </c>
      <c r="AG397" s="342">
        <v>0</v>
      </c>
      <c r="AH397" s="344">
        <f t="shared" si="58"/>
        <v>0</v>
      </c>
      <c r="AI397" s="342">
        <v>0</v>
      </c>
      <c r="AJ397" s="344">
        <f t="shared" si="59"/>
        <v>0</v>
      </c>
      <c r="AK397" s="342">
        <v>-8.66</v>
      </c>
      <c r="AL397" s="784">
        <f t="shared" si="60"/>
        <v>1</v>
      </c>
      <c r="AM397" s="350">
        <v>0</v>
      </c>
      <c r="AN397" s="350">
        <v>0</v>
      </c>
      <c r="AO397" s="350">
        <v>0</v>
      </c>
      <c r="AP397" s="639">
        <f t="shared" si="61"/>
        <v>2.4390243902439025E-2</v>
      </c>
    </row>
    <row r="398" spans="1:42" x14ac:dyDescent="0.2">
      <c r="A398" s="638">
        <v>42583</v>
      </c>
      <c r="B398" s="341" t="s">
        <v>137</v>
      </c>
      <c r="C398" s="351" t="s">
        <v>206</v>
      </c>
      <c r="D398" s="342">
        <v>154013.910009304</v>
      </c>
      <c r="E398" s="342">
        <v>11490.9900016785</v>
      </c>
      <c r="F398" s="342">
        <v>142522.920007626</v>
      </c>
      <c r="G398" s="342">
        <v>108864.540084023</v>
      </c>
      <c r="H398" s="342">
        <v>59012.569998172999</v>
      </c>
      <c r="I398" s="342">
        <v>49851.97008585</v>
      </c>
      <c r="J398" s="342">
        <v>20292.150040566899</v>
      </c>
      <c r="K398" s="343">
        <v>88572.390043456107</v>
      </c>
      <c r="L398" s="342">
        <v>52068.350021729202</v>
      </c>
      <c r="M398" s="342">
        <v>584.190004348755</v>
      </c>
      <c r="N398" s="354">
        <v>819</v>
      </c>
      <c r="O398" s="343">
        <v>188.05117217253297</v>
      </c>
      <c r="P398" s="343">
        <v>123.76235651187612</v>
      </c>
      <c r="Q398" s="343">
        <v>132.92373636632846</v>
      </c>
      <c r="R398" s="344">
        <v>0.70684875202146435</v>
      </c>
      <c r="S398" s="344">
        <v>1.3428591043681317</v>
      </c>
      <c r="T398" s="343">
        <v>199550.78000000003</v>
      </c>
      <c r="U398" s="342">
        <v>148299.20000000001</v>
      </c>
      <c r="V398" s="342">
        <v>4714.2</v>
      </c>
      <c r="W398" s="344">
        <f t="shared" si="62"/>
        <v>3.1788438508097143E-2</v>
      </c>
      <c r="X398" s="342">
        <v>5138.43</v>
      </c>
      <c r="Y398" s="344">
        <f t="shared" si="63"/>
        <v>3.4649074303839802E-2</v>
      </c>
      <c r="Z398" s="342">
        <v>5649.89</v>
      </c>
      <c r="AA398" s="344">
        <f t="shared" si="56"/>
        <v>3.8097912868039749E-2</v>
      </c>
      <c r="AB398" s="342">
        <v>24233.09</v>
      </c>
      <c r="AC398" s="344">
        <f t="shared" si="64"/>
        <v>0.16340674797975982</v>
      </c>
      <c r="AD398" s="342">
        <v>51251.58</v>
      </c>
      <c r="AE398" s="342">
        <v>3930.42</v>
      </c>
      <c r="AF398" s="344">
        <f t="shared" si="57"/>
        <v>7.6688757692933568E-2</v>
      </c>
      <c r="AG398" s="342">
        <v>4150.96</v>
      </c>
      <c r="AH398" s="344">
        <f t="shared" si="58"/>
        <v>8.0991844544109667E-2</v>
      </c>
      <c r="AI398" s="342">
        <v>4907.79</v>
      </c>
      <c r="AJ398" s="344">
        <f t="shared" si="59"/>
        <v>9.5758803923703423E-2</v>
      </c>
      <c r="AK398" s="342">
        <v>32299.78</v>
      </c>
      <c r="AL398" s="784">
        <f t="shared" si="60"/>
        <v>0.63022018052906847</v>
      </c>
      <c r="AM398" s="350">
        <v>37.536888712033289</v>
      </c>
      <c r="AN398" s="350">
        <v>29.502869653047739</v>
      </c>
      <c r="AO398" s="350">
        <v>177.02129830432716</v>
      </c>
      <c r="AP398" s="639">
        <f t="shared" si="61"/>
        <v>0.200196090916342</v>
      </c>
    </row>
    <row r="399" spans="1:42" x14ac:dyDescent="0.2">
      <c r="A399" s="638">
        <v>42583</v>
      </c>
      <c r="B399" s="341" t="s">
        <v>137</v>
      </c>
      <c r="C399" s="351" t="s">
        <v>207</v>
      </c>
      <c r="D399" s="342">
        <v>0</v>
      </c>
      <c r="E399" s="342">
        <v>0</v>
      </c>
      <c r="F399" s="342">
        <v>0</v>
      </c>
      <c r="G399" s="342">
        <v>0</v>
      </c>
      <c r="H399" s="342">
        <v>0</v>
      </c>
      <c r="I399" s="342">
        <v>0</v>
      </c>
      <c r="J399" s="342">
        <v>0</v>
      </c>
      <c r="K399" s="343">
        <v>0</v>
      </c>
      <c r="L399" s="342">
        <v>0</v>
      </c>
      <c r="M399" s="342">
        <v>0</v>
      </c>
      <c r="N399" s="354">
        <v>0</v>
      </c>
      <c r="O399" s="343" t="s">
        <v>311</v>
      </c>
      <c r="P399" s="343" t="s">
        <v>311</v>
      </c>
      <c r="Q399" s="343" t="s">
        <v>311</v>
      </c>
      <c r="R399" s="344" t="s">
        <v>312</v>
      </c>
      <c r="S399" s="344" t="s">
        <v>312</v>
      </c>
      <c r="T399" s="343">
        <v>0</v>
      </c>
      <c r="U399" s="342">
        <v>0</v>
      </c>
      <c r="V399" s="342">
        <v>0</v>
      </c>
      <c r="W399" s="344" t="str">
        <f t="shared" si="62"/>
        <v>0.00%</v>
      </c>
      <c r="X399" s="342">
        <v>0</v>
      </c>
      <c r="Y399" s="344" t="str">
        <f t="shared" si="63"/>
        <v>0.00%</v>
      </c>
      <c r="Z399" s="342">
        <v>0</v>
      </c>
      <c r="AA399" s="344">
        <f t="shared" si="56"/>
        <v>0</v>
      </c>
      <c r="AB399" s="342">
        <v>0</v>
      </c>
      <c r="AC399" s="344" t="str">
        <f t="shared" si="64"/>
        <v>0.00%</v>
      </c>
      <c r="AD399" s="342">
        <v>0</v>
      </c>
      <c r="AE399" s="342">
        <v>0</v>
      </c>
      <c r="AF399" s="344" t="str">
        <f t="shared" si="57"/>
        <v>0.00%</v>
      </c>
      <c r="AG399" s="342">
        <v>0</v>
      </c>
      <c r="AH399" s="344" t="str">
        <f t="shared" si="58"/>
        <v>0.00%</v>
      </c>
      <c r="AI399" s="342">
        <v>0</v>
      </c>
      <c r="AJ399" s="344">
        <f t="shared" si="59"/>
        <v>0</v>
      </c>
      <c r="AK399" s="342">
        <v>0</v>
      </c>
      <c r="AL399" s="784" t="str">
        <f t="shared" si="60"/>
        <v>0.00%</v>
      </c>
      <c r="AM399" s="350">
        <v>0</v>
      </c>
      <c r="AN399" s="350">
        <v>0</v>
      </c>
      <c r="AO399" s="350">
        <v>0</v>
      </c>
      <c r="AP399" s="639" t="str">
        <f t="shared" si="61"/>
        <v>0.00%</v>
      </c>
    </row>
    <row r="400" spans="1:42" x14ac:dyDescent="0.2">
      <c r="A400" s="638">
        <v>42583</v>
      </c>
      <c r="B400" s="341" t="s">
        <v>137</v>
      </c>
      <c r="C400" s="351" t="s">
        <v>208</v>
      </c>
      <c r="D400" s="342">
        <v>124611.39000225101</v>
      </c>
      <c r="E400" s="342">
        <v>16710</v>
      </c>
      <c r="F400" s="342">
        <v>107901.39000225101</v>
      </c>
      <c r="G400" s="342">
        <v>87152.760002313196</v>
      </c>
      <c r="H400" s="342">
        <v>44576.379962382802</v>
      </c>
      <c r="I400" s="342">
        <v>42576.3800399303</v>
      </c>
      <c r="J400" s="342">
        <v>13392.4200249407</v>
      </c>
      <c r="K400" s="343">
        <v>73760.339977372394</v>
      </c>
      <c r="L400" s="342">
        <v>49256.259973526001</v>
      </c>
      <c r="M400" s="342">
        <v>1008</v>
      </c>
      <c r="N400" s="354">
        <v>873</v>
      </c>
      <c r="O400" s="343">
        <v>142.73927835309394</v>
      </c>
      <c r="P400" s="343">
        <v>85.16280644756587</v>
      </c>
      <c r="Q400" s="343">
        <v>99.831340208835158</v>
      </c>
      <c r="R400" s="344">
        <v>0.69939641954671039</v>
      </c>
      <c r="S400" s="344">
        <v>1.4297953348789998</v>
      </c>
      <c r="T400" s="343">
        <v>155578.18</v>
      </c>
      <c r="U400" s="342">
        <v>107350.27999999998</v>
      </c>
      <c r="V400" s="342">
        <v>3665.54</v>
      </c>
      <c r="W400" s="344">
        <f t="shared" si="62"/>
        <v>3.4145602601129692E-2</v>
      </c>
      <c r="X400" s="342">
        <v>2593.12</v>
      </c>
      <c r="Y400" s="344">
        <f t="shared" si="63"/>
        <v>2.4155689207331368E-2</v>
      </c>
      <c r="Z400" s="342">
        <v>4505.8999999999996</v>
      </c>
      <c r="AA400" s="344">
        <f t="shared" si="56"/>
        <v>4.1973807613729562E-2</v>
      </c>
      <c r="AB400" s="342">
        <v>17022.95</v>
      </c>
      <c r="AC400" s="344">
        <f t="shared" si="64"/>
        <v>0.15857387609981086</v>
      </c>
      <c r="AD400" s="342">
        <v>48227.9</v>
      </c>
      <c r="AE400" s="342">
        <v>3487.71</v>
      </c>
      <c r="AF400" s="344">
        <f t="shared" si="57"/>
        <v>7.2317268634960255E-2</v>
      </c>
      <c r="AG400" s="342">
        <v>5020.54</v>
      </c>
      <c r="AH400" s="344">
        <f t="shared" si="58"/>
        <v>0.1041003236715677</v>
      </c>
      <c r="AI400" s="342">
        <v>5547.91</v>
      </c>
      <c r="AJ400" s="344">
        <f t="shared" si="59"/>
        <v>0.11503528040822843</v>
      </c>
      <c r="AK400" s="342">
        <v>26695.34</v>
      </c>
      <c r="AL400" s="784">
        <f t="shared" si="60"/>
        <v>0.55352482691554061</v>
      </c>
      <c r="AM400" s="350">
        <v>38.104393248802715</v>
      </c>
      <c r="AN400" s="350">
        <v>28.764629163785589</v>
      </c>
      <c r="AO400" s="350">
        <v>137.43187790900168</v>
      </c>
      <c r="AP400" s="639">
        <f t="shared" si="61"/>
        <v>0.18013365169262566</v>
      </c>
    </row>
    <row r="401" spans="1:42" x14ac:dyDescent="0.2">
      <c r="A401" s="638">
        <v>42583</v>
      </c>
      <c r="B401" s="341" t="s">
        <v>136</v>
      </c>
      <c r="C401" s="351" t="s">
        <v>305</v>
      </c>
      <c r="D401" s="342">
        <v>9617.6500005721991</v>
      </c>
      <c r="E401" s="342">
        <v>1410</v>
      </c>
      <c r="F401" s="342">
        <v>8207.6500005721991</v>
      </c>
      <c r="G401" s="342">
        <v>3769.01002883911</v>
      </c>
      <c r="H401" s="342">
        <v>0</v>
      </c>
      <c r="I401" s="342">
        <v>3769.01002883911</v>
      </c>
      <c r="J401" s="342">
        <v>0</v>
      </c>
      <c r="K401" s="343">
        <v>3769.01002883911</v>
      </c>
      <c r="L401" s="342">
        <v>0</v>
      </c>
      <c r="M401" s="342">
        <v>0</v>
      </c>
      <c r="N401" s="354">
        <v>72</v>
      </c>
      <c r="O401" s="343">
        <v>133.57847223016944</v>
      </c>
      <c r="P401" s="343">
        <v>133.57847223016944</v>
      </c>
      <c r="Q401" s="343">
        <v>52.347361511654306</v>
      </c>
      <c r="R401" s="344">
        <v>0.39188471493710769</v>
      </c>
      <c r="S401" s="344">
        <v>0.39188471493710769</v>
      </c>
      <c r="T401" s="343">
        <v>6100.64</v>
      </c>
      <c r="U401" s="342">
        <v>6081.64</v>
      </c>
      <c r="V401" s="342">
        <v>0</v>
      </c>
      <c r="W401" s="344">
        <f t="shared" si="62"/>
        <v>0</v>
      </c>
      <c r="X401" s="342">
        <v>0</v>
      </c>
      <c r="Y401" s="344">
        <f t="shared" si="63"/>
        <v>0</v>
      </c>
      <c r="Z401" s="342">
        <v>0</v>
      </c>
      <c r="AA401" s="344">
        <f t="shared" si="56"/>
        <v>0</v>
      </c>
      <c r="AB401" s="342">
        <v>0</v>
      </c>
      <c r="AC401" s="344">
        <f t="shared" si="64"/>
        <v>0</v>
      </c>
      <c r="AD401" s="342">
        <v>19</v>
      </c>
      <c r="AE401" s="342">
        <v>0</v>
      </c>
      <c r="AF401" s="344">
        <f t="shared" si="57"/>
        <v>0</v>
      </c>
      <c r="AG401" s="342">
        <v>0</v>
      </c>
      <c r="AH401" s="344">
        <f t="shared" si="58"/>
        <v>0</v>
      </c>
      <c r="AI401" s="342">
        <v>0</v>
      </c>
      <c r="AJ401" s="344">
        <f t="shared" si="59"/>
        <v>0</v>
      </c>
      <c r="AK401" s="342">
        <v>0</v>
      </c>
      <c r="AL401" s="784">
        <f t="shared" si="60"/>
        <v>0</v>
      </c>
      <c r="AM401" s="350">
        <f>IFERROR(T401/(D401)*30,"0.00")</f>
        <v>19.02951344549982</v>
      </c>
      <c r="AN401" s="350">
        <f>IFERROR(U401/(F401)*30,"0.00")</f>
        <v>22.229164253748699</v>
      </c>
      <c r="AO401" s="350">
        <f>IFERROR(AD401/(E401)*30,"0.00")</f>
        <v>0.4042553191489362</v>
      </c>
      <c r="AP401" s="639">
        <f t="shared" si="61"/>
        <v>0</v>
      </c>
    </row>
    <row r="402" spans="1:42" x14ac:dyDescent="0.2">
      <c r="A402" s="638">
        <v>42583</v>
      </c>
      <c r="B402" s="341" t="s">
        <v>135</v>
      </c>
      <c r="C402" s="351" t="s">
        <v>180</v>
      </c>
      <c r="D402" s="342">
        <v>0</v>
      </c>
      <c r="E402" s="342">
        <v>0</v>
      </c>
      <c r="F402" s="342">
        <v>0</v>
      </c>
      <c r="G402" s="342">
        <v>0</v>
      </c>
      <c r="H402" s="342">
        <v>0</v>
      </c>
      <c r="I402" s="342">
        <v>0</v>
      </c>
      <c r="J402" s="342">
        <v>0</v>
      </c>
      <c r="K402" s="343">
        <v>0</v>
      </c>
      <c r="L402" s="342">
        <v>0</v>
      </c>
      <c r="M402" s="342">
        <v>0</v>
      </c>
      <c r="N402" s="354">
        <v>0</v>
      </c>
      <c r="O402" s="343" t="s">
        <v>311</v>
      </c>
      <c r="P402" s="343" t="s">
        <v>311</v>
      </c>
      <c r="Q402" s="343" t="s">
        <v>311</v>
      </c>
      <c r="R402" s="344" t="s">
        <v>312</v>
      </c>
      <c r="S402" s="344" t="s">
        <v>312</v>
      </c>
      <c r="T402" s="343">
        <v>-30</v>
      </c>
      <c r="U402" s="342">
        <v>0</v>
      </c>
      <c r="V402" s="342">
        <v>0</v>
      </c>
      <c r="W402" s="344" t="str">
        <f t="shared" si="62"/>
        <v>0.00%</v>
      </c>
      <c r="X402" s="342">
        <v>0</v>
      </c>
      <c r="Y402" s="344" t="str">
        <f t="shared" si="63"/>
        <v>0.00%</v>
      </c>
      <c r="Z402" s="342">
        <v>0</v>
      </c>
      <c r="AA402" s="344">
        <f t="shared" si="56"/>
        <v>0</v>
      </c>
      <c r="AB402" s="342">
        <v>0</v>
      </c>
      <c r="AC402" s="344" t="str">
        <f t="shared" si="64"/>
        <v>0.00%</v>
      </c>
      <c r="AD402" s="342">
        <v>-30</v>
      </c>
      <c r="AE402" s="342">
        <v>0</v>
      </c>
      <c r="AF402" s="344">
        <f t="shared" si="57"/>
        <v>0</v>
      </c>
      <c r="AG402" s="342">
        <v>0</v>
      </c>
      <c r="AH402" s="344">
        <f t="shared" si="58"/>
        <v>0</v>
      </c>
      <c r="AI402" s="342">
        <v>0</v>
      </c>
      <c r="AJ402" s="344">
        <f t="shared" si="59"/>
        <v>0</v>
      </c>
      <c r="AK402" s="342">
        <v>-30</v>
      </c>
      <c r="AL402" s="784">
        <f t="shared" si="60"/>
        <v>1</v>
      </c>
      <c r="AM402" s="350">
        <v>-8.3419940736461189E-3</v>
      </c>
      <c r="AN402" s="350">
        <v>0</v>
      </c>
      <c r="AO402" s="350">
        <v>-8.7988007560451026E-2</v>
      </c>
      <c r="AP402" s="639" t="str">
        <f t="shared" si="61"/>
        <v>0.00%</v>
      </c>
    </row>
    <row r="403" spans="1:42" x14ac:dyDescent="0.2">
      <c r="A403" s="638">
        <v>42614</v>
      </c>
      <c r="B403" s="341" t="s">
        <v>133</v>
      </c>
      <c r="C403" s="351" t="s">
        <v>161</v>
      </c>
      <c r="D403" s="342">
        <v>0</v>
      </c>
      <c r="E403" s="342">
        <v>0</v>
      </c>
      <c r="F403" s="342">
        <v>0</v>
      </c>
      <c r="G403" s="342">
        <v>11.440000057220001</v>
      </c>
      <c r="H403" s="342">
        <v>0</v>
      </c>
      <c r="I403" s="342">
        <v>11.440000057220001</v>
      </c>
      <c r="J403" s="342">
        <v>20</v>
      </c>
      <c r="K403" s="343">
        <v>-8.5599999427799993</v>
      </c>
      <c r="L403" s="342">
        <v>0</v>
      </c>
      <c r="M403" s="342">
        <v>40.519999027251998</v>
      </c>
      <c r="N403" s="354">
        <v>0</v>
      </c>
      <c r="O403" s="343" t="s">
        <v>311</v>
      </c>
      <c r="P403" s="343" t="s">
        <v>311</v>
      </c>
      <c r="Q403" s="343" t="s">
        <v>311</v>
      </c>
      <c r="R403" s="344" t="s">
        <v>312</v>
      </c>
      <c r="S403" s="344">
        <v>-0.18902842434066461</v>
      </c>
      <c r="T403" s="343">
        <v>-183.68</v>
      </c>
      <c r="U403" s="342">
        <v>-177.68</v>
      </c>
      <c r="V403" s="342">
        <v>0</v>
      </c>
      <c r="W403" s="344">
        <v>0</v>
      </c>
      <c r="X403" s="342">
        <v>0</v>
      </c>
      <c r="Y403" s="344">
        <f t="shared" si="63"/>
        <v>0</v>
      </c>
      <c r="Z403" s="342">
        <v>0</v>
      </c>
      <c r="AA403" s="344">
        <f t="shared" si="56"/>
        <v>0</v>
      </c>
      <c r="AB403" s="342">
        <v>-177.68</v>
      </c>
      <c r="AC403" s="344">
        <v>0</v>
      </c>
      <c r="AD403" s="342">
        <v>-6</v>
      </c>
      <c r="AE403" s="342">
        <v>0</v>
      </c>
      <c r="AF403" s="344">
        <f t="shared" si="57"/>
        <v>0</v>
      </c>
      <c r="AG403" s="342">
        <v>0</v>
      </c>
      <c r="AH403" s="344">
        <f t="shared" si="58"/>
        <v>0</v>
      </c>
      <c r="AI403" s="342">
        <v>0</v>
      </c>
      <c r="AJ403" s="344">
        <f t="shared" si="59"/>
        <v>0</v>
      </c>
      <c r="AK403" s="342">
        <v>-6</v>
      </c>
      <c r="AL403" s="784">
        <f t="shared" si="60"/>
        <v>1</v>
      </c>
      <c r="AM403" s="350" t="s">
        <v>313</v>
      </c>
      <c r="AN403" s="350" t="s">
        <v>313</v>
      </c>
      <c r="AO403" s="350" t="s">
        <v>313</v>
      </c>
      <c r="AP403" s="639">
        <f t="shared" si="61"/>
        <v>-0.4935834274465028</v>
      </c>
    </row>
    <row r="404" spans="1:42" x14ac:dyDescent="0.2">
      <c r="A404" s="638">
        <v>42614</v>
      </c>
      <c r="B404" s="341" t="s">
        <v>133</v>
      </c>
      <c r="C404" s="351" t="s">
        <v>162</v>
      </c>
      <c r="D404" s="342">
        <v>153991.540002842</v>
      </c>
      <c r="E404" s="342">
        <v>11113</v>
      </c>
      <c r="F404" s="342">
        <v>142878.540002842</v>
      </c>
      <c r="G404" s="342">
        <v>112160.83980947699</v>
      </c>
      <c r="H404" s="342">
        <v>62861.129794120803</v>
      </c>
      <c r="I404" s="342">
        <v>49299.710015356497</v>
      </c>
      <c r="J404" s="342">
        <v>6415.9899840354901</v>
      </c>
      <c r="K404" s="343">
        <v>105744.84982544181</v>
      </c>
      <c r="L404" s="342">
        <v>55309.440053939798</v>
      </c>
      <c r="M404" s="342">
        <v>7091.0899929609104</v>
      </c>
      <c r="N404" s="354">
        <v>878</v>
      </c>
      <c r="O404" s="343">
        <v>175.38899772533256</v>
      </c>
      <c r="P404" s="343">
        <v>104.31777899309942</v>
      </c>
      <c r="Q404" s="343">
        <v>127.74583121808348</v>
      </c>
      <c r="R404" s="344">
        <v>0.7283571539540894</v>
      </c>
      <c r="S404" s="344">
        <v>1.31682786627432</v>
      </c>
      <c r="T404" s="343">
        <v>166813.75</v>
      </c>
      <c r="U404" s="342">
        <v>122169.5</v>
      </c>
      <c r="V404" s="342">
        <v>3303.67</v>
      </c>
      <c r="W404" s="344">
        <f t="shared" si="62"/>
        <v>2.7041692075354323E-2</v>
      </c>
      <c r="X404" s="342">
        <v>2737.83</v>
      </c>
      <c r="Y404" s="344">
        <f t="shared" si="63"/>
        <v>2.2410094172440748E-2</v>
      </c>
      <c r="Z404" s="342">
        <v>748.91</v>
      </c>
      <c r="AA404" s="344">
        <f t="shared" si="56"/>
        <v>6.1300897523522647E-3</v>
      </c>
      <c r="AB404" s="342">
        <v>17018.37</v>
      </c>
      <c r="AC404" s="344">
        <f t="shared" si="64"/>
        <v>0.13930129860562579</v>
      </c>
      <c r="AD404" s="342">
        <v>44644.25</v>
      </c>
      <c r="AE404" s="342">
        <v>4340.83</v>
      </c>
      <c r="AF404" s="344">
        <f t="shared" si="57"/>
        <v>9.7231558375378682E-2</v>
      </c>
      <c r="AG404" s="342">
        <v>3025.44</v>
      </c>
      <c r="AH404" s="344">
        <f t="shared" si="58"/>
        <v>6.7767741646460627E-2</v>
      </c>
      <c r="AI404" s="342">
        <v>3779.98</v>
      </c>
      <c r="AJ404" s="344">
        <f t="shared" si="59"/>
        <v>8.466891032999771E-2</v>
      </c>
      <c r="AK404" s="342">
        <v>22127.63</v>
      </c>
      <c r="AL404" s="784">
        <f t="shared" si="60"/>
        <v>0.49564344792442477</v>
      </c>
      <c r="AM404" s="350">
        <v>31.431121773110295</v>
      </c>
      <c r="AN404" s="350">
        <v>25.226797298471865</v>
      </c>
      <c r="AO404" s="350">
        <v>96.126282925428825</v>
      </c>
      <c r="AP404" s="639">
        <f t="shared" si="61"/>
        <v>7.0050433848494756E-2</v>
      </c>
    </row>
    <row r="405" spans="1:42" x14ac:dyDescent="0.2">
      <c r="A405" s="638">
        <v>42614</v>
      </c>
      <c r="B405" s="341" t="s">
        <v>133</v>
      </c>
      <c r="C405" s="351" t="s">
        <v>163</v>
      </c>
      <c r="D405" s="342">
        <v>0</v>
      </c>
      <c r="E405" s="342">
        <v>0</v>
      </c>
      <c r="F405" s="342">
        <v>0</v>
      </c>
      <c r="G405" s="342">
        <v>50</v>
      </c>
      <c r="H405" s="342">
        <v>0</v>
      </c>
      <c r="I405" s="342">
        <v>50</v>
      </c>
      <c r="J405" s="342">
        <v>0</v>
      </c>
      <c r="K405" s="343">
        <v>50</v>
      </c>
      <c r="L405" s="342">
        <v>0</v>
      </c>
      <c r="M405" s="342">
        <v>-50</v>
      </c>
      <c r="N405" s="354">
        <v>0</v>
      </c>
      <c r="O405" s="343" t="s">
        <v>311</v>
      </c>
      <c r="P405" s="343" t="s">
        <v>311</v>
      </c>
      <c r="Q405" s="343" t="s">
        <v>311</v>
      </c>
      <c r="R405" s="344" t="s">
        <v>312</v>
      </c>
      <c r="S405" s="344">
        <v>1</v>
      </c>
      <c r="T405" s="343">
        <v>-70</v>
      </c>
      <c r="U405" s="342">
        <v>0</v>
      </c>
      <c r="V405" s="342">
        <v>0</v>
      </c>
      <c r="W405" s="344" t="str">
        <f t="shared" si="62"/>
        <v>0.00%</v>
      </c>
      <c r="X405" s="342">
        <v>0</v>
      </c>
      <c r="Y405" s="344" t="str">
        <f t="shared" si="63"/>
        <v>0.00%</v>
      </c>
      <c r="Z405" s="342">
        <v>0</v>
      </c>
      <c r="AA405" s="344">
        <f t="shared" si="56"/>
        <v>0</v>
      </c>
      <c r="AB405" s="342">
        <v>0</v>
      </c>
      <c r="AC405" s="344" t="str">
        <f t="shared" si="64"/>
        <v>0.00%</v>
      </c>
      <c r="AD405" s="342">
        <v>-70</v>
      </c>
      <c r="AE405" s="342">
        <v>0</v>
      </c>
      <c r="AF405" s="344">
        <f t="shared" si="57"/>
        <v>0</v>
      </c>
      <c r="AG405" s="342">
        <v>0</v>
      </c>
      <c r="AH405" s="344">
        <f t="shared" si="58"/>
        <v>0</v>
      </c>
      <c r="AI405" s="342">
        <v>0</v>
      </c>
      <c r="AJ405" s="344">
        <f t="shared" si="59"/>
        <v>0</v>
      </c>
      <c r="AK405" s="342">
        <v>-70</v>
      </c>
      <c r="AL405" s="784">
        <f t="shared" si="60"/>
        <v>1</v>
      </c>
      <c r="AM405" s="350" t="s">
        <v>313</v>
      </c>
      <c r="AN405" s="350" t="s">
        <v>313</v>
      </c>
      <c r="AO405" s="350" t="s">
        <v>313</v>
      </c>
      <c r="AP405" s="639">
        <f t="shared" si="61"/>
        <v>0</v>
      </c>
    </row>
    <row r="406" spans="1:42" x14ac:dyDescent="0.2">
      <c r="A406" s="638">
        <v>42614</v>
      </c>
      <c r="B406" s="341" t="s">
        <v>133</v>
      </c>
      <c r="C406" s="351" t="s">
        <v>164</v>
      </c>
      <c r="D406" s="342">
        <v>210601.48000625501</v>
      </c>
      <c r="E406" s="342">
        <v>17820</v>
      </c>
      <c r="F406" s="342">
        <v>192781.48000625501</v>
      </c>
      <c r="G406" s="342">
        <v>131862.81988658401</v>
      </c>
      <c r="H406" s="342">
        <v>69116.239849466801</v>
      </c>
      <c r="I406" s="342">
        <v>62746.580037116997</v>
      </c>
      <c r="J406" s="342">
        <v>6604.3800067901602</v>
      </c>
      <c r="K406" s="343">
        <v>125258.43987979364</v>
      </c>
      <c r="L406" s="342">
        <v>61443.410100936897</v>
      </c>
      <c r="M406" s="342">
        <v>7406.8300014138204</v>
      </c>
      <c r="N406" s="354">
        <v>1044</v>
      </c>
      <c r="O406" s="343">
        <v>201.72555556154694</v>
      </c>
      <c r="P406" s="343">
        <v>135.77704971638343</v>
      </c>
      <c r="Q406" s="343">
        <v>126.30538303312625</v>
      </c>
      <c r="R406" s="344">
        <v>0.62612484908780031</v>
      </c>
      <c r="S406" s="344">
        <v>0.97570021225035908</v>
      </c>
      <c r="T406" s="343">
        <v>202595.31000000003</v>
      </c>
      <c r="U406" s="342">
        <v>159713.93000000002</v>
      </c>
      <c r="V406" s="342">
        <v>5941.18</v>
      </c>
      <c r="W406" s="344">
        <f t="shared" si="62"/>
        <v>3.7198884280162658E-2</v>
      </c>
      <c r="X406" s="342">
        <v>5654.17</v>
      </c>
      <c r="Y406" s="344">
        <f t="shared" si="63"/>
        <v>3.5401858810937777E-2</v>
      </c>
      <c r="Z406" s="342">
        <v>3354.72</v>
      </c>
      <c r="AA406" s="344">
        <f t="shared" si="56"/>
        <v>2.1004554831253599E-2</v>
      </c>
      <c r="AB406" s="342">
        <v>15111.7</v>
      </c>
      <c r="AC406" s="344">
        <f t="shared" si="64"/>
        <v>9.4617294809538524E-2</v>
      </c>
      <c r="AD406" s="342">
        <v>42881.380000000005</v>
      </c>
      <c r="AE406" s="342">
        <v>3958.24</v>
      </c>
      <c r="AF406" s="344">
        <f t="shared" si="57"/>
        <v>9.2306730800174791E-2</v>
      </c>
      <c r="AG406" s="342">
        <v>2826.69</v>
      </c>
      <c r="AH406" s="344">
        <f t="shared" si="58"/>
        <v>6.5918820709594692E-2</v>
      </c>
      <c r="AI406" s="342">
        <v>4037.45</v>
      </c>
      <c r="AJ406" s="344">
        <f t="shared" si="59"/>
        <v>9.415391948673292E-2</v>
      </c>
      <c r="AK406" s="342">
        <v>19616.13</v>
      </c>
      <c r="AL406" s="784">
        <f t="shared" si="60"/>
        <v>0.45745099621327484</v>
      </c>
      <c r="AM406" s="350">
        <v>31.821332292833212</v>
      </c>
      <c r="AN406" s="350">
        <v>27.463723122458472</v>
      </c>
      <c r="AO406" s="350">
        <v>77.796407837445585</v>
      </c>
      <c r="AP406" s="639">
        <f t="shared" si="61"/>
        <v>4.6591338539736148E-2</v>
      </c>
    </row>
    <row r="407" spans="1:42" x14ac:dyDescent="0.2">
      <c r="A407" s="638">
        <v>42614</v>
      </c>
      <c r="B407" s="341" t="s">
        <v>133</v>
      </c>
      <c r="C407" s="351" t="s">
        <v>165</v>
      </c>
      <c r="D407" s="342">
        <v>0</v>
      </c>
      <c r="E407" s="342">
        <v>0</v>
      </c>
      <c r="F407" s="342">
        <v>0</v>
      </c>
      <c r="G407" s="342">
        <v>0</v>
      </c>
      <c r="H407" s="342">
        <v>0</v>
      </c>
      <c r="I407" s="342">
        <v>0</v>
      </c>
      <c r="J407" s="342">
        <v>0</v>
      </c>
      <c r="K407" s="343">
        <v>0</v>
      </c>
      <c r="L407" s="342">
        <v>0</v>
      </c>
      <c r="M407" s="342">
        <v>0</v>
      </c>
      <c r="N407" s="354">
        <v>0</v>
      </c>
      <c r="O407" s="343" t="s">
        <v>311</v>
      </c>
      <c r="P407" s="343" t="s">
        <v>311</v>
      </c>
      <c r="Q407" s="343" t="s">
        <v>311</v>
      </c>
      <c r="R407" s="344" t="s">
        <v>312</v>
      </c>
      <c r="S407" s="344" t="s">
        <v>312</v>
      </c>
      <c r="T407" s="343">
        <v>-38.61</v>
      </c>
      <c r="U407" s="342">
        <v>0</v>
      </c>
      <c r="V407" s="342">
        <v>0</v>
      </c>
      <c r="W407" s="344" t="str">
        <f t="shared" si="62"/>
        <v>0.00%</v>
      </c>
      <c r="X407" s="342">
        <v>0</v>
      </c>
      <c r="Y407" s="344" t="str">
        <f t="shared" si="63"/>
        <v>0.00%</v>
      </c>
      <c r="Z407" s="342">
        <v>0</v>
      </c>
      <c r="AA407" s="344">
        <f t="shared" si="56"/>
        <v>0</v>
      </c>
      <c r="AB407" s="342">
        <v>0</v>
      </c>
      <c r="AC407" s="344" t="str">
        <f t="shared" si="64"/>
        <v>0.00%</v>
      </c>
      <c r="AD407" s="342">
        <v>-38.61</v>
      </c>
      <c r="AE407" s="342">
        <v>0</v>
      </c>
      <c r="AF407" s="344">
        <f t="shared" si="57"/>
        <v>0</v>
      </c>
      <c r="AG407" s="342">
        <v>0</v>
      </c>
      <c r="AH407" s="344">
        <f t="shared" si="58"/>
        <v>0</v>
      </c>
      <c r="AI407" s="342">
        <v>0</v>
      </c>
      <c r="AJ407" s="344">
        <f t="shared" si="59"/>
        <v>0</v>
      </c>
      <c r="AK407" s="342">
        <v>-38.61</v>
      </c>
      <c r="AL407" s="784">
        <f t="shared" si="60"/>
        <v>1</v>
      </c>
      <c r="AM407" s="350" t="s">
        <v>313</v>
      </c>
      <c r="AN407" s="350" t="s">
        <v>313</v>
      </c>
      <c r="AO407" s="350" t="s">
        <v>313</v>
      </c>
      <c r="AP407" s="639" t="str">
        <f t="shared" si="61"/>
        <v>0.00%</v>
      </c>
    </row>
    <row r="408" spans="1:42" x14ac:dyDescent="0.2">
      <c r="A408" s="638">
        <v>42614</v>
      </c>
      <c r="B408" s="341" t="s">
        <v>133</v>
      </c>
      <c r="C408" s="351" t="s">
        <v>166</v>
      </c>
      <c r="D408" s="342">
        <v>285567.66000762599</v>
      </c>
      <c r="E408" s="342">
        <v>18169.360000610399</v>
      </c>
      <c r="F408" s="342">
        <v>267398.300007015</v>
      </c>
      <c r="G408" s="342">
        <v>221695.029896325</v>
      </c>
      <c r="H408" s="342">
        <v>123105.419803446</v>
      </c>
      <c r="I408" s="342">
        <v>98589.610092878298</v>
      </c>
      <c r="J408" s="342">
        <v>14851.399997005199</v>
      </c>
      <c r="K408" s="343">
        <v>206843.62989931909</v>
      </c>
      <c r="L408" s="342">
        <v>106506.530107848</v>
      </c>
      <c r="M408" s="342">
        <v>15882.2399897426</v>
      </c>
      <c r="N408" s="354">
        <v>1424</v>
      </c>
      <c r="O408" s="343">
        <v>200.53908708400661</v>
      </c>
      <c r="P408" s="343">
        <v>114.59191707165365</v>
      </c>
      <c r="Q408" s="343">
        <v>155.68471200584571</v>
      </c>
      <c r="R408" s="344">
        <v>0.77633100992740023</v>
      </c>
      <c r="S408" s="344">
        <v>1.4946321145615897</v>
      </c>
      <c r="T408" s="343">
        <v>304195.38</v>
      </c>
      <c r="U408" s="342">
        <v>223515.21000000002</v>
      </c>
      <c r="V408" s="342">
        <v>7424.26</v>
      </c>
      <c r="W408" s="344">
        <f t="shared" si="62"/>
        <v>3.3215905083148478E-2</v>
      </c>
      <c r="X408" s="342">
        <v>6327.14</v>
      </c>
      <c r="Y408" s="344">
        <f t="shared" si="63"/>
        <v>2.8307424805676534E-2</v>
      </c>
      <c r="Z408" s="342">
        <v>1195.8800000000001</v>
      </c>
      <c r="AA408" s="344">
        <f t="shared" si="56"/>
        <v>5.3503294026388632E-3</v>
      </c>
      <c r="AB408" s="342">
        <v>21073.200000000001</v>
      </c>
      <c r="AC408" s="344">
        <f t="shared" si="64"/>
        <v>9.4280832163502429E-2</v>
      </c>
      <c r="AD408" s="342">
        <v>80680.170000000013</v>
      </c>
      <c r="AE408" s="342">
        <v>6253.5</v>
      </c>
      <c r="AF408" s="344">
        <f t="shared" si="57"/>
        <v>7.7509752396406686E-2</v>
      </c>
      <c r="AG408" s="342">
        <v>6283.4</v>
      </c>
      <c r="AH408" s="344">
        <f t="shared" si="58"/>
        <v>7.7880351516363924E-2</v>
      </c>
      <c r="AI408" s="342">
        <v>5919.12</v>
      </c>
      <c r="AJ408" s="344">
        <f t="shared" si="59"/>
        <v>7.336523956258395E-2</v>
      </c>
      <c r="AK408" s="342">
        <v>44045.440000000002</v>
      </c>
      <c r="AL408" s="784">
        <f t="shared" si="60"/>
        <v>0.54592646495415165</v>
      </c>
      <c r="AM408" s="350">
        <v>29.417418282701391</v>
      </c>
      <c r="AN408" s="350">
        <v>23.14310226913101</v>
      </c>
      <c r="AO408" s="350">
        <v>118.17930333287759</v>
      </c>
      <c r="AP408" s="639">
        <f t="shared" si="61"/>
        <v>9.1012998097935019E-2</v>
      </c>
    </row>
    <row r="409" spans="1:42" x14ac:dyDescent="0.2">
      <c r="A409" s="638">
        <v>42614</v>
      </c>
      <c r="B409" s="341" t="s">
        <v>133</v>
      </c>
      <c r="C409" s="351" t="s">
        <v>167</v>
      </c>
      <c r="D409" s="342">
        <v>0</v>
      </c>
      <c r="E409" s="342">
        <v>0</v>
      </c>
      <c r="F409" s="342">
        <v>0</v>
      </c>
      <c r="G409" s="342">
        <v>316.31999848037998</v>
      </c>
      <c r="H409" s="342">
        <v>246.31999848038001</v>
      </c>
      <c r="I409" s="342">
        <v>70</v>
      </c>
      <c r="J409" s="342">
        <v>30.559999465941999</v>
      </c>
      <c r="K409" s="343">
        <v>285.75999901443805</v>
      </c>
      <c r="L409" s="342">
        <v>72.360001526773004</v>
      </c>
      <c r="M409" s="342">
        <v>3233.46999549866</v>
      </c>
      <c r="N409" s="354">
        <v>0</v>
      </c>
      <c r="O409" s="343" t="s">
        <v>311</v>
      </c>
      <c r="P409" s="343" t="s">
        <v>311</v>
      </c>
      <c r="Q409" s="343" t="s">
        <v>311</v>
      </c>
      <c r="R409" s="344" t="s">
        <v>312</v>
      </c>
      <c r="S409" s="344">
        <v>-9.480905973613081E-2</v>
      </c>
      <c r="T409" s="343">
        <v>2786.7999999999997</v>
      </c>
      <c r="U409" s="342">
        <v>701.18</v>
      </c>
      <c r="V409" s="342">
        <v>0</v>
      </c>
      <c r="W409" s="344">
        <f t="shared" si="62"/>
        <v>0</v>
      </c>
      <c r="X409" s="342">
        <v>0</v>
      </c>
      <c r="Y409" s="344">
        <f t="shared" si="63"/>
        <v>0</v>
      </c>
      <c r="Z409" s="342">
        <v>0</v>
      </c>
      <c r="AA409" s="344">
        <f t="shared" si="56"/>
        <v>0</v>
      </c>
      <c r="AB409" s="342">
        <v>701.18</v>
      </c>
      <c r="AC409" s="344">
        <f t="shared" si="64"/>
        <v>1</v>
      </c>
      <c r="AD409" s="342">
        <v>2085.62</v>
      </c>
      <c r="AE409" s="342">
        <v>0</v>
      </c>
      <c r="AF409" s="344">
        <f t="shared" si="57"/>
        <v>0</v>
      </c>
      <c r="AG409" s="342">
        <v>0</v>
      </c>
      <c r="AH409" s="344">
        <f t="shared" si="58"/>
        <v>0</v>
      </c>
      <c r="AI409" s="342">
        <v>0</v>
      </c>
      <c r="AJ409" s="344">
        <f t="shared" si="59"/>
        <v>0</v>
      </c>
      <c r="AK409" s="342">
        <v>2085.62</v>
      </c>
      <c r="AL409" s="784">
        <f t="shared" si="60"/>
        <v>1</v>
      </c>
      <c r="AM409" s="350" t="s">
        <v>313</v>
      </c>
      <c r="AN409" s="350" t="s">
        <v>313</v>
      </c>
      <c r="AO409" s="350" t="s">
        <v>313</v>
      </c>
      <c r="AP409" s="639">
        <f t="shared" si="61"/>
        <v>-9.2442743557411347E-3</v>
      </c>
    </row>
    <row r="410" spans="1:42" x14ac:dyDescent="0.2">
      <c r="A410" s="638">
        <v>42614</v>
      </c>
      <c r="B410" s="341" t="s">
        <v>133</v>
      </c>
      <c r="C410" s="351" t="s">
        <v>168</v>
      </c>
      <c r="D410" s="342">
        <v>0</v>
      </c>
      <c r="E410" s="342">
        <v>0</v>
      </c>
      <c r="F410" s="342">
        <v>0</v>
      </c>
      <c r="G410" s="342">
        <v>0</v>
      </c>
      <c r="H410" s="342">
        <v>0</v>
      </c>
      <c r="I410" s="342">
        <v>0</v>
      </c>
      <c r="J410" s="342">
        <v>0</v>
      </c>
      <c r="K410" s="343">
        <v>0</v>
      </c>
      <c r="L410" s="342">
        <v>0</v>
      </c>
      <c r="M410" s="342">
        <v>0</v>
      </c>
      <c r="N410" s="354">
        <v>0</v>
      </c>
      <c r="O410" s="343" t="s">
        <v>311</v>
      </c>
      <c r="P410" s="343" t="s">
        <v>311</v>
      </c>
      <c r="Q410" s="343" t="s">
        <v>311</v>
      </c>
      <c r="R410" s="344" t="s">
        <v>312</v>
      </c>
      <c r="S410" s="344" t="s">
        <v>312</v>
      </c>
      <c r="T410" s="343">
        <v>0</v>
      </c>
      <c r="U410" s="342">
        <v>0</v>
      </c>
      <c r="V410" s="342">
        <v>0</v>
      </c>
      <c r="W410" s="344" t="str">
        <f t="shared" si="62"/>
        <v>0.00%</v>
      </c>
      <c r="X410" s="342">
        <v>0</v>
      </c>
      <c r="Y410" s="344" t="str">
        <f t="shared" si="63"/>
        <v>0.00%</v>
      </c>
      <c r="Z410" s="342">
        <v>0</v>
      </c>
      <c r="AA410" s="344">
        <f t="shared" si="56"/>
        <v>0</v>
      </c>
      <c r="AB410" s="342">
        <v>0</v>
      </c>
      <c r="AC410" s="344" t="str">
        <f t="shared" si="64"/>
        <v>0.00%</v>
      </c>
      <c r="AD410" s="342">
        <v>0</v>
      </c>
      <c r="AE410" s="342">
        <v>0</v>
      </c>
      <c r="AF410" s="344" t="str">
        <f t="shared" si="57"/>
        <v>0.00%</v>
      </c>
      <c r="AG410" s="342">
        <v>0</v>
      </c>
      <c r="AH410" s="344" t="str">
        <f t="shared" si="58"/>
        <v>0.00%</v>
      </c>
      <c r="AI410" s="342">
        <v>0</v>
      </c>
      <c r="AJ410" s="344">
        <f t="shared" si="59"/>
        <v>0</v>
      </c>
      <c r="AK410" s="342">
        <v>0</v>
      </c>
      <c r="AL410" s="784" t="str">
        <f t="shared" si="60"/>
        <v>0.00%</v>
      </c>
      <c r="AM410" s="350" t="s">
        <v>313</v>
      </c>
      <c r="AN410" s="350" t="s">
        <v>313</v>
      </c>
      <c r="AO410" s="350" t="s">
        <v>313</v>
      </c>
      <c r="AP410" s="639" t="str">
        <f t="shared" si="61"/>
        <v>0.00%</v>
      </c>
    </row>
    <row r="411" spans="1:42" x14ac:dyDescent="0.2">
      <c r="A411" s="638">
        <v>42614</v>
      </c>
      <c r="B411" s="341" t="s">
        <v>133</v>
      </c>
      <c r="C411" s="351" t="s">
        <v>169</v>
      </c>
      <c r="D411" s="342">
        <v>217875.50001372999</v>
      </c>
      <c r="E411" s="342">
        <v>11805</v>
      </c>
      <c r="F411" s="342">
        <v>206070.50001372999</v>
      </c>
      <c r="G411" s="342">
        <v>152102.63979216901</v>
      </c>
      <c r="H411" s="342">
        <v>91605.929799282894</v>
      </c>
      <c r="I411" s="342">
        <v>60496.709992885597</v>
      </c>
      <c r="J411" s="342">
        <v>6671.3600299544596</v>
      </c>
      <c r="K411" s="343">
        <v>145431.27976221402</v>
      </c>
      <c r="L411" s="342">
        <v>68241.960125267506</v>
      </c>
      <c r="M411" s="342">
        <v>9374.8700059354305</v>
      </c>
      <c r="N411" s="354">
        <v>1164</v>
      </c>
      <c r="O411" s="343">
        <v>187.17826461660653</v>
      </c>
      <c r="P411" s="343">
        <v>120.49713907433596</v>
      </c>
      <c r="Q411" s="343">
        <v>130.67237095547119</v>
      </c>
      <c r="R411" s="344">
        <v>0.69811722650129704</v>
      </c>
      <c r="S411" s="344">
        <v>1.1386009641187436</v>
      </c>
      <c r="T411" s="343">
        <v>234798.06999999998</v>
      </c>
      <c r="U411" s="342">
        <v>174932.91999999998</v>
      </c>
      <c r="V411" s="342">
        <v>5884.49</v>
      </c>
      <c r="W411" s="344">
        <f t="shared" si="62"/>
        <v>3.3638551280113546E-2</v>
      </c>
      <c r="X411" s="342">
        <v>4192.4399999999996</v>
      </c>
      <c r="Y411" s="344">
        <f t="shared" si="63"/>
        <v>2.39659865049986E-2</v>
      </c>
      <c r="Z411" s="342">
        <v>2960.59</v>
      </c>
      <c r="AA411" s="344">
        <f t="shared" si="56"/>
        <v>1.6924144409182676E-2</v>
      </c>
      <c r="AB411" s="342">
        <v>15644.34</v>
      </c>
      <c r="AC411" s="344">
        <f t="shared" si="64"/>
        <v>8.9430508562939451E-2</v>
      </c>
      <c r="AD411" s="342">
        <v>59865.149999999994</v>
      </c>
      <c r="AE411" s="342">
        <v>5930.3</v>
      </c>
      <c r="AF411" s="344">
        <f t="shared" si="57"/>
        <v>9.9060972869858349E-2</v>
      </c>
      <c r="AG411" s="342">
        <v>4464.8900000000003</v>
      </c>
      <c r="AH411" s="344">
        <f t="shared" si="58"/>
        <v>7.4582457406354122E-2</v>
      </c>
      <c r="AI411" s="342">
        <v>4020.82</v>
      </c>
      <c r="AJ411" s="344">
        <f t="shared" si="59"/>
        <v>6.7164619148202265E-2</v>
      </c>
      <c r="AK411" s="342">
        <v>32803.46</v>
      </c>
      <c r="AL411" s="784">
        <f t="shared" si="60"/>
        <v>0.54795586413798347</v>
      </c>
      <c r="AM411" s="350">
        <v>33.759048734794447</v>
      </c>
      <c r="AN411" s="350">
        <v>27.022730195488283</v>
      </c>
      <c r="AO411" s="350">
        <v>124.31300213409668</v>
      </c>
      <c r="AP411" s="639">
        <f t="shared" si="61"/>
        <v>4.7564689124330234E-2</v>
      </c>
    </row>
    <row r="412" spans="1:42" x14ac:dyDescent="0.2">
      <c r="A412" s="638">
        <v>42614</v>
      </c>
      <c r="B412" s="341" t="s">
        <v>133</v>
      </c>
      <c r="C412" s="351" t="s">
        <v>170</v>
      </c>
      <c r="D412" s="342">
        <v>0</v>
      </c>
      <c r="E412" s="342">
        <v>0</v>
      </c>
      <c r="F412" s="342">
        <v>0</v>
      </c>
      <c r="G412" s="342">
        <v>0</v>
      </c>
      <c r="H412" s="342">
        <v>0</v>
      </c>
      <c r="I412" s="342">
        <v>0</v>
      </c>
      <c r="J412" s="342">
        <v>0</v>
      </c>
      <c r="K412" s="343">
        <v>0</v>
      </c>
      <c r="L412" s="342">
        <v>0</v>
      </c>
      <c r="M412" s="342">
        <v>0</v>
      </c>
      <c r="N412" s="354">
        <v>0</v>
      </c>
      <c r="O412" s="343" t="s">
        <v>311</v>
      </c>
      <c r="P412" s="343" t="s">
        <v>311</v>
      </c>
      <c r="Q412" s="343" t="s">
        <v>311</v>
      </c>
      <c r="R412" s="344" t="s">
        <v>312</v>
      </c>
      <c r="S412" s="344" t="s">
        <v>312</v>
      </c>
      <c r="T412" s="343">
        <v>0</v>
      </c>
      <c r="U412" s="342">
        <v>0</v>
      </c>
      <c r="V412" s="342">
        <v>0</v>
      </c>
      <c r="W412" s="344" t="str">
        <f t="shared" si="62"/>
        <v>0.00%</v>
      </c>
      <c r="X412" s="342">
        <v>0</v>
      </c>
      <c r="Y412" s="344" t="str">
        <f t="shared" si="63"/>
        <v>0.00%</v>
      </c>
      <c r="Z412" s="342">
        <v>0</v>
      </c>
      <c r="AA412" s="344">
        <f t="shared" si="56"/>
        <v>0</v>
      </c>
      <c r="AB412" s="342">
        <v>0</v>
      </c>
      <c r="AC412" s="344" t="str">
        <f t="shared" si="64"/>
        <v>0.00%</v>
      </c>
      <c r="AD412" s="342">
        <v>0</v>
      </c>
      <c r="AE412" s="342">
        <v>0</v>
      </c>
      <c r="AF412" s="344" t="str">
        <f t="shared" si="57"/>
        <v>0.00%</v>
      </c>
      <c r="AG412" s="342">
        <v>0</v>
      </c>
      <c r="AH412" s="344" t="str">
        <f t="shared" si="58"/>
        <v>0.00%</v>
      </c>
      <c r="AI412" s="342">
        <v>0</v>
      </c>
      <c r="AJ412" s="344">
        <f t="shared" si="59"/>
        <v>0</v>
      </c>
      <c r="AK412" s="342">
        <v>0</v>
      </c>
      <c r="AL412" s="784" t="str">
        <f t="shared" si="60"/>
        <v>0.00%</v>
      </c>
      <c r="AM412" s="350" t="s">
        <v>313</v>
      </c>
      <c r="AN412" s="350" t="s">
        <v>313</v>
      </c>
      <c r="AO412" s="350" t="s">
        <v>313</v>
      </c>
      <c r="AP412" s="639" t="str">
        <f t="shared" si="61"/>
        <v>0.00%</v>
      </c>
    </row>
    <row r="413" spans="1:42" x14ac:dyDescent="0.2">
      <c r="A413" s="638">
        <v>42614</v>
      </c>
      <c r="B413" s="341" t="s">
        <v>133</v>
      </c>
      <c r="C413" s="351" t="s">
        <v>171</v>
      </c>
      <c r="D413" s="342">
        <v>211082.53000621099</v>
      </c>
      <c r="E413" s="342">
        <v>12771</v>
      </c>
      <c r="F413" s="342">
        <v>198311.53000621099</v>
      </c>
      <c r="G413" s="342">
        <v>136789.409848209</v>
      </c>
      <c r="H413" s="342">
        <v>82136.789774891004</v>
      </c>
      <c r="I413" s="342">
        <v>54652.620073318503</v>
      </c>
      <c r="J413" s="342">
        <v>5994.7700069397697</v>
      </c>
      <c r="K413" s="343">
        <v>130794.63984126973</v>
      </c>
      <c r="L413" s="342">
        <v>67928.690124396206</v>
      </c>
      <c r="M413" s="342">
        <v>11813.929998874701</v>
      </c>
      <c r="N413" s="354">
        <v>1256</v>
      </c>
      <c r="O413" s="343">
        <v>168.05933917691956</v>
      </c>
      <c r="P413" s="343">
        <v>104.569991945016</v>
      </c>
      <c r="Q413" s="343">
        <v>108.90876580271457</v>
      </c>
      <c r="R413" s="344">
        <v>0.64803757015885943</v>
      </c>
      <c r="S413" s="344">
        <v>1.091302063913532</v>
      </c>
      <c r="T413" s="343">
        <v>263224.07</v>
      </c>
      <c r="U413" s="342">
        <v>188438.55</v>
      </c>
      <c r="V413" s="342">
        <v>5506.4</v>
      </c>
      <c r="W413" s="344">
        <f t="shared" si="62"/>
        <v>2.9221197042749478E-2</v>
      </c>
      <c r="X413" s="342">
        <v>4469.55</v>
      </c>
      <c r="Y413" s="344">
        <f t="shared" si="63"/>
        <v>2.3718872810260961E-2</v>
      </c>
      <c r="Z413" s="342">
        <v>937.25</v>
      </c>
      <c r="AA413" s="344">
        <f t="shared" si="56"/>
        <v>4.9737699637361892E-3</v>
      </c>
      <c r="AB413" s="342">
        <v>23031.72</v>
      </c>
      <c r="AC413" s="344">
        <f t="shared" si="64"/>
        <v>0.12222403536855915</v>
      </c>
      <c r="AD413" s="342">
        <v>74785.52</v>
      </c>
      <c r="AE413" s="342">
        <v>7555.33</v>
      </c>
      <c r="AF413" s="344">
        <f t="shared" si="57"/>
        <v>0.10102664259070472</v>
      </c>
      <c r="AG413" s="342">
        <v>6633.27</v>
      </c>
      <c r="AH413" s="344">
        <f t="shared" si="58"/>
        <v>8.8697250483783491E-2</v>
      </c>
      <c r="AI413" s="342">
        <v>6508.24</v>
      </c>
      <c r="AJ413" s="344">
        <f t="shared" si="59"/>
        <v>8.7025402778505775E-2</v>
      </c>
      <c r="AK413" s="342">
        <v>39802.01</v>
      </c>
      <c r="AL413" s="784">
        <f t="shared" si="60"/>
        <v>0.5322154609608919</v>
      </c>
      <c r="AM413" s="350">
        <v>36.742959289427858</v>
      </c>
      <c r="AN413" s="350">
        <v>28.62846217224978</v>
      </c>
      <c r="AO413" s="350">
        <v>128.55881577690764</v>
      </c>
      <c r="AP413" s="639">
        <f t="shared" si="61"/>
        <v>4.5643171312381402E-2</v>
      </c>
    </row>
    <row r="414" spans="1:42" x14ac:dyDescent="0.2">
      <c r="A414" s="638">
        <v>42614</v>
      </c>
      <c r="B414" s="341" t="s">
        <v>133</v>
      </c>
      <c r="C414" s="351" t="s">
        <v>172</v>
      </c>
      <c r="D414" s="342">
        <v>0</v>
      </c>
      <c r="E414" s="342">
        <v>0</v>
      </c>
      <c r="F414" s="342">
        <v>0</v>
      </c>
      <c r="G414" s="342">
        <v>0</v>
      </c>
      <c r="H414" s="342">
        <v>0</v>
      </c>
      <c r="I414" s="342">
        <v>0</v>
      </c>
      <c r="J414" s="342">
        <v>0</v>
      </c>
      <c r="K414" s="343">
        <v>0</v>
      </c>
      <c r="L414" s="342">
        <v>0</v>
      </c>
      <c r="M414" s="342">
        <v>0</v>
      </c>
      <c r="N414" s="354">
        <v>0</v>
      </c>
      <c r="O414" s="343" t="s">
        <v>311</v>
      </c>
      <c r="P414" s="343" t="s">
        <v>311</v>
      </c>
      <c r="Q414" s="343" t="s">
        <v>311</v>
      </c>
      <c r="R414" s="344" t="s">
        <v>312</v>
      </c>
      <c r="S414" s="344" t="s">
        <v>312</v>
      </c>
      <c r="T414" s="343">
        <v>0</v>
      </c>
      <c r="U414" s="342">
        <v>0</v>
      </c>
      <c r="V414" s="342">
        <v>0</v>
      </c>
      <c r="W414" s="344" t="str">
        <f t="shared" si="62"/>
        <v>0.00%</v>
      </c>
      <c r="X414" s="342">
        <v>0</v>
      </c>
      <c r="Y414" s="344" t="str">
        <f t="shared" si="63"/>
        <v>0.00%</v>
      </c>
      <c r="Z414" s="342">
        <v>0</v>
      </c>
      <c r="AA414" s="344">
        <f t="shared" si="56"/>
        <v>0</v>
      </c>
      <c r="AB414" s="342">
        <v>0</v>
      </c>
      <c r="AC414" s="344" t="str">
        <f t="shared" si="64"/>
        <v>0.00%</v>
      </c>
      <c r="AD414" s="342">
        <v>0</v>
      </c>
      <c r="AE414" s="342">
        <v>0</v>
      </c>
      <c r="AF414" s="344" t="str">
        <f t="shared" si="57"/>
        <v>0.00%</v>
      </c>
      <c r="AG414" s="342">
        <v>0</v>
      </c>
      <c r="AH414" s="344" t="str">
        <f t="shared" si="58"/>
        <v>0.00%</v>
      </c>
      <c r="AI414" s="342">
        <v>0</v>
      </c>
      <c r="AJ414" s="344">
        <f t="shared" si="59"/>
        <v>0</v>
      </c>
      <c r="AK414" s="342">
        <v>0</v>
      </c>
      <c r="AL414" s="784" t="str">
        <f t="shared" si="60"/>
        <v>0.00%</v>
      </c>
      <c r="AM414" s="350">
        <v>0</v>
      </c>
      <c r="AN414" s="350">
        <v>0</v>
      </c>
      <c r="AO414" s="350">
        <v>0</v>
      </c>
      <c r="AP414" s="639" t="str">
        <f t="shared" si="61"/>
        <v>0.00%</v>
      </c>
    </row>
    <row r="415" spans="1:42" x14ac:dyDescent="0.2">
      <c r="A415" s="638">
        <v>42614</v>
      </c>
      <c r="B415" s="341" t="s">
        <v>133</v>
      </c>
      <c r="C415" s="351" t="s">
        <v>173</v>
      </c>
      <c r="D415" s="342">
        <v>222882.11000611601</v>
      </c>
      <c r="E415" s="342">
        <v>19640</v>
      </c>
      <c r="F415" s="342">
        <v>203242.11000611601</v>
      </c>
      <c r="G415" s="342">
        <v>154514.66966213699</v>
      </c>
      <c r="H415" s="342">
        <v>86834.419567246005</v>
      </c>
      <c r="I415" s="342">
        <v>67680.250094890594</v>
      </c>
      <c r="J415" s="342">
        <v>8147.5400042533902</v>
      </c>
      <c r="K415" s="343">
        <v>146367.1296578832</v>
      </c>
      <c r="L415" s="342">
        <v>75530.450173836201</v>
      </c>
      <c r="M415" s="342">
        <v>10987.569956183401</v>
      </c>
      <c r="N415" s="354">
        <v>1337</v>
      </c>
      <c r="O415" s="343">
        <v>166.70314884526255</v>
      </c>
      <c r="P415" s="343">
        <v>101.99258779064802</v>
      </c>
      <c r="Q415" s="343">
        <v>115.56818972485908</v>
      </c>
      <c r="R415" s="344">
        <v>0.69325738910986001</v>
      </c>
      <c r="S415" s="344">
        <v>1.2051070615812036</v>
      </c>
      <c r="T415" s="343">
        <v>283885.27999999997</v>
      </c>
      <c r="U415" s="342">
        <v>195332.11999999997</v>
      </c>
      <c r="V415" s="342">
        <v>6234.13</v>
      </c>
      <c r="W415" s="344">
        <f t="shared" si="62"/>
        <v>3.1915539543624472E-2</v>
      </c>
      <c r="X415" s="342">
        <v>6716.09</v>
      </c>
      <c r="Y415" s="344">
        <f t="shared" si="63"/>
        <v>3.4382926883709662E-2</v>
      </c>
      <c r="Z415" s="342">
        <v>1630.65</v>
      </c>
      <c r="AA415" s="344">
        <f t="shared" si="56"/>
        <v>8.3480893976884112E-3</v>
      </c>
      <c r="AB415" s="342">
        <v>23198.43</v>
      </c>
      <c r="AC415" s="344">
        <f t="shared" si="64"/>
        <v>0.11876403123050118</v>
      </c>
      <c r="AD415" s="342">
        <v>88553.16</v>
      </c>
      <c r="AE415" s="342">
        <v>6396.67</v>
      </c>
      <c r="AF415" s="344">
        <f t="shared" si="57"/>
        <v>7.2235366868895479E-2</v>
      </c>
      <c r="AG415" s="342">
        <v>6314.94</v>
      </c>
      <c r="AH415" s="344">
        <f t="shared" si="58"/>
        <v>7.1312418438822509E-2</v>
      </c>
      <c r="AI415" s="342">
        <v>8148.83</v>
      </c>
      <c r="AJ415" s="344">
        <f t="shared" si="59"/>
        <v>9.2021899613746128E-2</v>
      </c>
      <c r="AK415" s="342">
        <v>51436.25</v>
      </c>
      <c r="AL415" s="784">
        <f t="shared" si="60"/>
        <v>0.5808516601779089</v>
      </c>
      <c r="AM415" s="350">
        <v>38.410399604346878</v>
      </c>
      <c r="AN415" s="350">
        <v>29.273862816178095</v>
      </c>
      <c r="AO415" s="350">
        <v>123.28730276591796</v>
      </c>
      <c r="AP415" s="639">
        <f t="shared" si="61"/>
        <v>5.9748427989043416E-2</v>
      </c>
    </row>
    <row r="416" spans="1:42" x14ac:dyDescent="0.2">
      <c r="A416" s="638">
        <v>42614</v>
      </c>
      <c r="B416" s="341" t="s">
        <v>133</v>
      </c>
      <c r="C416" s="351" t="s">
        <v>174</v>
      </c>
      <c r="D416" s="342">
        <v>199520.300006006</v>
      </c>
      <c r="E416" s="342">
        <v>11664</v>
      </c>
      <c r="F416" s="342">
        <v>187856.300006006</v>
      </c>
      <c r="G416" s="342">
        <v>121579.339931786</v>
      </c>
      <c r="H416" s="342">
        <v>68933.269895046906</v>
      </c>
      <c r="I416" s="342">
        <v>52646.070036739096</v>
      </c>
      <c r="J416" s="342">
        <v>5810.2000007629404</v>
      </c>
      <c r="K416" s="343">
        <v>115769.13993102306</v>
      </c>
      <c r="L416" s="342">
        <v>63699.780236393199</v>
      </c>
      <c r="M416" s="342">
        <v>12070.060030111999</v>
      </c>
      <c r="N416" s="354">
        <v>1006</v>
      </c>
      <c r="O416" s="343">
        <v>198.33031809742147</v>
      </c>
      <c r="P416" s="343">
        <v>123.01238542693918</v>
      </c>
      <c r="Q416" s="343">
        <v>120.85421464392246</v>
      </c>
      <c r="R416" s="344">
        <v>0.60935824539220418</v>
      </c>
      <c r="S416" s="344">
        <v>1.0308552838624354</v>
      </c>
      <c r="T416" s="343">
        <v>205159.08</v>
      </c>
      <c r="U416" s="342">
        <v>149292.09</v>
      </c>
      <c r="V416" s="342">
        <v>5030.2299999999996</v>
      </c>
      <c r="W416" s="344">
        <f t="shared" si="62"/>
        <v>3.3693881571354514E-2</v>
      </c>
      <c r="X416" s="342">
        <v>2214.02</v>
      </c>
      <c r="Y416" s="344">
        <f t="shared" si="63"/>
        <v>1.4830122613997835E-2</v>
      </c>
      <c r="Z416" s="342">
        <v>2628.29</v>
      </c>
      <c r="AA416" s="344">
        <f t="shared" si="56"/>
        <v>1.7605018457441383E-2</v>
      </c>
      <c r="AB416" s="342">
        <v>11038.6</v>
      </c>
      <c r="AC416" s="344">
        <f t="shared" si="64"/>
        <v>7.3939617296535948E-2</v>
      </c>
      <c r="AD416" s="342">
        <v>55866.99</v>
      </c>
      <c r="AE416" s="342">
        <v>4942.3999999999996</v>
      </c>
      <c r="AF416" s="344">
        <f t="shared" si="57"/>
        <v>8.8467268417360592E-2</v>
      </c>
      <c r="AG416" s="342">
        <v>3345.16</v>
      </c>
      <c r="AH416" s="344">
        <f t="shared" si="58"/>
        <v>5.9877219087693827E-2</v>
      </c>
      <c r="AI416" s="342">
        <v>6047.48</v>
      </c>
      <c r="AJ416" s="344">
        <f t="shared" si="59"/>
        <v>0.10824782219339184</v>
      </c>
      <c r="AK416" s="342">
        <v>28932.03</v>
      </c>
      <c r="AL416" s="784">
        <f t="shared" si="60"/>
        <v>0.51787343474205427</v>
      </c>
      <c r="AM416" s="350">
        <v>36.545565245531101</v>
      </c>
      <c r="AN416" s="350">
        <v>28.352821434487872</v>
      </c>
      <c r="AO416" s="350">
        <v>160.40928696761844</v>
      </c>
      <c r="AP416" s="639">
        <f t="shared" si="61"/>
        <v>4.6950936691416104E-2</v>
      </c>
    </row>
    <row r="417" spans="1:42" x14ac:dyDescent="0.2">
      <c r="A417" s="638">
        <v>42614</v>
      </c>
      <c r="B417" s="341" t="s">
        <v>133</v>
      </c>
      <c r="C417" s="351" t="s">
        <v>175</v>
      </c>
      <c r="D417" s="342">
        <v>0</v>
      </c>
      <c r="E417" s="342">
        <v>0</v>
      </c>
      <c r="F417" s="342">
        <v>0</v>
      </c>
      <c r="G417" s="342">
        <v>123.959999084473</v>
      </c>
      <c r="H417" s="342">
        <v>50.389999389647997</v>
      </c>
      <c r="I417" s="342">
        <v>73.569999694824006</v>
      </c>
      <c r="J417" s="342">
        <v>66.409999966621001</v>
      </c>
      <c r="K417" s="343">
        <v>57.549999117851002</v>
      </c>
      <c r="L417" s="342">
        <v>306.66000366210898</v>
      </c>
      <c r="M417" s="342">
        <v>3375.8200035095201</v>
      </c>
      <c r="N417" s="354">
        <v>0</v>
      </c>
      <c r="O417" s="343" t="s">
        <v>311</v>
      </c>
      <c r="P417" s="343" t="s">
        <v>311</v>
      </c>
      <c r="Q417" s="343" t="s">
        <v>311</v>
      </c>
      <c r="R417" s="344" t="s">
        <v>312</v>
      </c>
      <c r="S417" s="344">
        <v>-3.3065787165918487E-2</v>
      </c>
      <c r="T417" s="343">
        <v>3485.8500000000004</v>
      </c>
      <c r="U417" s="342">
        <v>625.82000000000005</v>
      </c>
      <c r="V417" s="342">
        <v>0</v>
      </c>
      <c r="W417" s="344">
        <f t="shared" si="62"/>
        <v>0</v>
      </c>
      <c r="X417" s="342">
        <v>0</v>
      </c>
      <c r="Y417" s="344">
        <f t="shared" si="63"/>
        <v>0</v>
      </c>
      <c r="Z417" s="342">
        <v>0</v>
      </c>
      <c r="AA417" s="344">
        <f t="shared" si="56"/>
        <v>0</v>
      </c>
      <c r="AB417" s="342">
        <v>625.82000000000005</v>
      </c>
      <c r="AC417" s="344">
        <f t="shared" si="64"/>
        <v>1</v>
      </c>
      <c r="AD417" s="342">
        <v>2860.03</v>
      </c>
      <c r="AE417" s="342">
        <v>0</v>
      </c>
      <c r="AF417" s="344">
        <f t="shared" si="57"/>
        <v>0</v>
      </c>
      <c r="AG417" s="342">
        <v>0</v>
      </c>
      <c r="AH417" s="344">
        <f t="shared" si="58"/>
        <v>0</v>
      </c>
      <c r="AI417" s="342">
        <v>0</v>
      </c>
      <c r="AJ417" s="344">
        <f t="shared" si="59"/>
        <v>0</v>
      </c>
      <c r="AK417" s="342">
        <v>2860.03</v>
      </c>
      <c r="AL417" s="784">
        <f t="shared" si="60"/>
        <v>1</v>
      </c>
      <c r="AM417" s="350" t="s">
        <v>313</v>
      </c>
      <c r="AN417" s="350" t="s">
        <v>313</v>
      </c>
      <c r="AO417" s="350" t="s">
        <v>313</v>
      </c>
      <c r="AP417" s="639">
        <f t="shared" si="61"/>
        <v>-1.8034042231672008E-2</v>
      </c>
    </row>
    <row r="418" spans="1:42" x14ac:dyDescent="0.2">
      <c r="A418" s="638">
        <v>42614</v>
      </c>
      <c r="B418" s="341" t="s">
        <v>133</v>
      </c>
      <c r="C418" s="351" t="s">
        <v>176</v>
      </c>
      <c r="D418" s="342">
        <v>0</v>
      </c>
      <c r="E418" s="342">
        <v>0</v>
      </c>
      <c r="F418" s="342">
        <v>0</v>
      </c>
      <c r="G418" s="342">
        <v>0</v>
      </c>
      <c r="H418" s="342">
        <v>0</v>
      </c>
      <c r="I418" s="342">
        <v>0</v>
      </c>
      <c r="J418" s="342">
        <v>0</v>
      </c>
      <c r="K418" s="343">
        <v>0</v>
      </c>
      <c r="L418" s="342">
        <v>0</v>
      </c>
      <c r="M418" s="342">
        <v>0</v>
      </c>
      <c r="N418" s="354">
        <v>0</v>
      </c>
      <c r="O418" s="343" t="s">
        <v>311</v>
      </c>
      <c r="P418" s="343" t="s">
        <v>311</v>
      </c>
      <c r="Q418" s="343" t="s">
        <v>311</v>
      </c>
      <c r="R418" s="344" t="s">
        <v>312</v>
      </c>
      <c r="S418" s="344" t="s">
        <v>312</v>
      </c>
      <c r="T418" s="343">
        <v>0</v>
      </c>
      <c r="U418" s="342">
        <v>0</v>
      </c>
      <c r="V418" s="342">
        <v>0</v>
      </c>
      <c r="W418" s="344" t="str">
        <f t="shared" si="62"/>
        <v>0.00%</v>
      </c>
      <c r="X418" s="342">
        <v>0</v>
      </c>
      <c r="Y418" s="344" t="str">
        <f t="shared" si="63"/>
        <v>0.00%</v>
      </c>
      <c r="Z418" s="342">
        <v>0</v>
      </c>
      <c r="AA418" s="344">
        <f t="shared" si="56"/>
        <v>0</v>
      </c>
      <c r="AB418" s="342">
        <v>0</v>
      </c>
      <c r="AC418" s="344" t="str">
        <f t="shared" si="64"/>
        <v>0.00%</v>
      </c>
      <c r="AD418" s="342">
        <v>0</v>
      </c>
      <c r="AE418" s="342">
        <v>0</v>
      </c>
      <c r="AF418" s="344" t="str">
        <f t="shared" si="57"/>
        <v>0.00%</v>
      </c>
      <c r="AG418" s="342">
        <v>0</v>
      </c>
      <c r="AH418" s="344" t="str">
        <f t="shared" si="58"/>
        <v>0.00%</v>
      </c>
      <c r="AI418" s="342">
        <v>0</v>
      </c>
      <c r="AJ418" s="344">
        <f t="shared" si="59"/>
        <v>0</v>
      </c>
      <c r="AK418" s="342">
        <v>0</v>
      </c>
      <c r="AL418" s="784" t="str">
        <f t="shared" si="60"/>
        <v>0.00%</v>
      </c>
      <c r="AM418" s="350" t="s">
        <v>313</v>
      </c>
      <c r="AN418" s="350" t="s">
        <v>313</v>
      </c>
      <c r="AO418" s="350" t="s">
        <v>313</v>
      </c>
      <c r="AP418" s="639" t="str">
        <f t="shared" si="61"/>
        <v>0.00%</v>
      </c>
    </row>
    <row r="419" spans="1:42" x14ac:dyDescent="0.2">
      <c r="A419" s="638">
        <v>42614</v>
      </c>
      <c r="B419" s="341" t="s">
        <v>133</v>
      </c>
      <c r="C419" s="351" t="s">
        <v>177</v>
      </c>
      <c r="D419" s="342">
        <v>198377.72000194501</v>
      </c>
      <c r="E419" s="342">
        <v>10844</v>
      </c>
      <c r="F419" s="342">
        <v>187533.72000194501</v>
      </c>
      <c r="G419" s="342">
        <v>122461.839839697</v>
      </c>
      <c r="H419" s="342">
        <v>58169.549828052499</v>
      </c>
      <c r="I419" s="342">
        <v>64292.2900116444</v>
      </c>
      <c r="J419" s="342">
        <v>6162.7800051569902</v>
      </c>
      <c r="K419" s="343">
        <v>116299.0598345399</v>
      </c>
      <c r="L419" s="342">
        <v>55278.0101881027</v>
      </c>
      <c r="M419" s="342">
        <v>3967.5100048035401</v>
      </c>
      <c r="N419" s="354">
        <v>977</v>
      </c>
      <c r="O419" s="343">
        <v>203.04781985869499</v>
      </c>
      <c r="P419" s="343">
        <v>142.40757401129864</v>
      </c>
      <c r="Q419" s="343">
        <v>125.34476953909611</v>
      </c>
      <c r="R419" s="344">
        <v>0.6173165002526303</v>
      </c>
      <c r="S419" s="344">
        <v>0.9209774700101524</v>
      </c>
      <c r="T419" s="343">
        <v>152591.36000000002</v>
      </c>
      <c r="U419" s="342">
        <v>124670.26000000002</v>
      </c>
      <c r="V419" s="342">
        <v>2801.96</v>
      </c>
      <c r="W419" s="344">
        <f t="shared" si="62"/>
        <v>2.2474967165384909E-2</v>
      </c>
      <c r="X419" s="342">
        <v>1394.35</v>
      </c>
      <c r="Y419" s="344">
        <f t="shared" si="63"/>
        <v>1.1184303297354153E-2</v>
      </c>
      <c r="Z419" s="342">
        <v>1871.71</v>
      </c>
      <c r="AA419" s="344">
        <f t="shared" si="56"/>
        <v>1.5013283841711725E-2</v>
      </c>
      <c r="AB419" s="342">
        <v>11818.48</v>
      </c>
      <c r="AC419" s="344">
        <f t="shared" si="64"/>
        <v>9.479790930090301E-2</v>
      </c>
      <c r="AD419" s="342">
        <v>27921.1</v>
      </c>
      <c r="AE419" s="342">
        <v>2125.2199999999998</v>
      </c>
      <c r="AF419" s="344">
        <f t="shared" si="57"/>
        <v>7.6115196034540186E-2</v>
      </c>
      <c r="AG419" s="342">
        <v>3213.34</v>
      </c>
      <c r="AH419" s="344">
        <f t="shared" si="58"/>
        <v>0.11508644000415458</v>
      </c>
      <c r="AI419" s="342">
        <v>2526.79</v>
      </c>
      <c r="AJ419" s="344">
        <f t="shared" si="59"/>
        <v>9.0497509052293784E-2</v>
      </c>
      <c r="AK419" s="342">
        <v>11786.45</v>
      </c>
      <c r="AL419" s="784">
        <f t="shared" si="60"/>
        <v>0.4221341566055779</v>
      </c>
      <c r="AM419" s="350">
        <f>IFERROR(T419/(D419+D368+D318)*90,"0.00")</f>
        <v>30.265221789554673</v>
      </c>
      <c r="AN419" s="350">
        <f>IFERROR(U419/(F419+F368+F318)*90,"0.00")</f>
        <v>26.514461815245337</v>
      </c>
      <c r="AO419" s="350">
        <f>IFERROR(AD419/(E419+E368+E318)*90,"0.00")</f>
        <v>82.161157430112794</v>
      </c>
      <c r="AP419" s="639">
        <f t="shared" si="61"/>
        <v>4.4294419362415793E-2</v>
      </c>
    </row>
    <row r="420" spans="1:42" x14ac:dyDescent="0.2">
      <c r="A420" s="638">
        <v>42614</v>
      </c>
      <c r="B420" s="341" t="s">
        <v>134</v>
      </c>
      <c r="C420" s="351" t="s">
        <v>178</v>
      </c>
      <c r="D420" s="342">
        <v>594058.83035458997</v>
      </c>
      <c r="E420" s="342">
        <v>28143</v>
      </c>
      <c r="F420" s="342">
        <v>565915.83035458997</v>
      </c>
      <c r="G420" s="342">
        <v>406489.72998338193</v>
      </c>
      <c r="H420" s="342">
        <v>270983.72999577958</v>
      </c>
      <c r="I420" s="342">
        <v>135505.9999876022</v>
      </c>
      <c r="J420" s="342">
        <v>26083.300027772748</v>
      </c>
      <c r="K420" s="343">
        <v>380406.42995560908</v>
      </c>
      <c r="L420" s="342">
        <v>220728.41975135321</v>
      </c>
      <c r="M420" s="342">
        <v>6374.9899917244875</v>
      </c>
      <c r="N420" s="354">
        <v>2804</v>
      </c>
      <c r="O420" s="343">
        <v>211.86120911361982</v>
      </c>
      <c r="P420" s="343">
        <v>130.86855228655929</v>
      </c>
      <c r="Q420" s="343">
        <v>144.96780669878095</v>
      </c>
      <c r="R420" s="344">
        <v>0.68425837511875831</v>
      </c>
      <c r="S420" s="344">
        <v>1.1924991967288874</v>
      </c>
      <c r="T420" s="343">
        <v>715258.71000000008</v>
      </c>
      <c r="U420" s="342">
        <v>564758.1100000001</v>
      </c>
      <c r="V420" s="342">
        <v>25203.879999999997</v>
      </c>
      <c r="W420" s="344">
        <f t="shared" si="62"/>
        <v>4.4627743371405487E-2</v>
      </c>
      <c r="X420" s="342">
        <v>19040.259999999998</v>
      </c>
      <c r="Y420" s="344">
        <f t="shared" si="63"/>
        <v>3.3714008994045246E-2</v>
      </c>
      <c r="Z420" s="342">
        <v>6045.46</v>
      </c>
      <c r="AA420" s="344">
        <f t="shared" si="56"/>
        <v>1.0704512060924629E-2</v>
      </c>
      <c r="AB420" s="342">
        <v>31538.39</v>
      </c>
      <c r="AC420" s="344">
        <f t="shared" si="64"/>
        <v>5.5844067471647274E-2</v>
      </c>
      <c r="AD420" s="342">
        <v>150500.6</v>
      </c>
      <c r="AE420" s="342">
        <v>21211.15</v>
      </c>
      <c r="AF420" s="344">
        <f t="shared" si="57"/>
        <v>0.1409373118778264</v>
      </c>
      <c r="AG420" s="342">
        <v>13518.769999999999</v>
      </c>
      <c r="AH420" s="344">
        <f t="shared" si="58"/>
        <v>8.9825356177981999E-2</v>
      </c>
      <c r="AI420" s="342">
        <v>12103.669999999998</v>
      </c>
      <c r="AJ420" s="344">
        <f t="shared" si="59"/>
        <v>8.0422735856202548E-2</v>
      </c>
      <c r="AK420" s="342">
        <v>55096.55</v>
      </c>
      <c r="AL420" s="784">
        <f t="shared" si="60"/>
        <v>0.36608857373326087</v>
      </c>
      <c r="AM420" s="350">
        <f>IFERROR(T420/(D420+D369+D319)*90,"0.00")</f>
        <v>35.590562472313685</v>
      </c>
      <c r="AN420" s="350">
        <f>IFERROR(U420/(F420+F369+F319)*90,"0.00")</f>
        <v>29.429137962639437</v>
      </c>
      <c r="AO420" s="350">
        <f>IFERROR(AD420/(E420+E369+E319)*90,"0.00")</f>
        <v>166.03768727394706</v>
      </c>
      <c r="AP420" s="639">
        <f t="shared" si="61"/>
        <v>7.1080296304946999E-2</v>
      </c>
    </row>
    <row r="421" spans="1:42" x14ac:dyDescent="0.2">
      <c r="A421" s="638">
        <v>42614</v>
      </c>
      <c r="B421" s="341" t="s">
        <v>135</v>
      </c>
      <c r="C421" s="351" t="s">
        <v>180</v>
      </c>
      <c r="D421" s="342">
        <v>0</v>
      </c>
      <c r="E421" s="342">
        <v>0</v>
      </c>
      <c r="F421" s="342">
        <v>0</v>
      </c>
      <c r="G421" s="342">
        <v>0</v>
      </c>
      <c r="H421" s="342">
        <v>0</v>
      </c>
      <c r="I421" s="342">
        <v>0</v>
      </c>
      <c r="J421" s="342">
        <v>0</v>
      </c>
      <c r="K421" s="343">
        <v>0</v>
      </c>
      <c r="L421" s="342">
        <v>0</v>
      </c>
      <c r="M421" s="342">
        <v>0</v>
      </c>
      <c r="N421" s="354">
        <v>0</v>
      </c>
      <c r="O421" s="343" t="s">
        <v>311</v>
      </c>
      <c r="P421" s="343" t="s">
        <v>311</v>
      </c>
      <c r="Q421" s="343" t="s">
        <v>311</v>
      </c>
      <c r="R421" s="344" t="s">
        <v>312</v>
      </c>
      <c r="S421" s="344" t="s">
        <v>312</v>
      </c>
      <c r="T421" s="343">
        <v>-30</v>
      </c>
      <c r="U421" s="342">
        <v>0</v>
      </c>
      <c r="V421" s="342">
        <v>0</v>
      </c>
      <c r="W421" s="344" t="str">
        <f t="shared" si="62"/>
        <v>0.00%</v>
      </c>
      <c r="X421" s="342">
        <v>0</v>
      </c>
      <c r="Y421" s="344" t="str">
        <f t="shared" si="63"/>
        <v>0.00%</v>
      </c>
      <c r="Z421" s="342">
        <v>0</v>
      </c>
      <c r="AA421" s="344">
        <f t="shared" si="56"/>
        <v>0</v>
      </c>
      <c r="AB421" s="342">
        <v>0</v>
      </c>
      <c r="AC421" s="344" t="str">
        <f t="shared" si="64"/>
        <v>0.00%</v>
      </c>
      <c r="AD421" s="342">
        <v>-30</v>
      </c>
      <c r="AE421" s="342">
        <v>0</v>
      </c>
      <c r="AF421" s="344">
        <f t="shared" si="57"/>
        <v>0</v>
      </c>
      <c r="AG421" s="342">
        <v>0</v>
      </c>
      <c r="AH421" s="344">
        <f t="shared" si="58"/>
        <v>0</v>
      </c>
      <c r="AI421" s="342">
        <v>0</v>
      </c>
      <c r="AJ421" s="344">
        <f t="shared" si="59"/>
        <v>0</v>
      </c>
      <c r="AK421" s="342">
        <v>-30</v>
      </c>
      <c r="AL421" s="784">
        <f t="shared" si="60"/>
        <v>1</v>
      </c>
      <c r="AM421" s="350" t="s">
        <v>313</v>
      </c>
      <c r="AN421" s="350" t="s">
        <v>313</v>
      </c>
      <c r="AO421" s="350" t="s">
        <v>313</v>
      </c>
      <c r="AP421" s="639" t="str">
        <f t="shared" si="61"/>
        <v>0.00%</v>
      </c>
    </row>
    <row r="422" spans="1:42" x14ac:dyDescent="0.2">
      <c r="A422" s="638">
        <v>42614</v>
      </c>
      <c r="B422" s="341" t="s">
        <v>135</v>
      </c>
      <c r="C422" s="351" t="s">
        <v>181</v>
      </c>
      <c r="D422" s="342">
        <v>104364.5</v>
      </c>
      <c r="E422" s="342">
        <v>7080</v>
      </c>
      <c r="F422" s="342">
        <v>97284.5</v>
      </c>
      <c r="G422" s="342">
        <v>58809.690281868003</v>
      </c>
      <c r="H422" s="342">
        <v>32408.680213928201</v>
      </c>
      <c r="I422" s="342">
        <v>26401.010067939798</v>
      </c>
      <c r="J422" s="342">
        <v>3873.8100137710599</v>
      </c>
      <c r="K422" s="343">
        <v>54935.880268096938</v>
      </c>
      <c r="L422" s="342">
        <v>35190.569738849998</v>
      </c>
      <c r="M422" s="342">
        <v>5168.42001562938</v>
      </c>
      <c r="N422" s="354">
        <v>804</v>
      </c>
      <c r="O422" s="343">
        <v>129.80659203980099</v>
      </c>
      <c r="P422" s="343">
        <v>79.608843588955992</v>
      </c>
      <c r="Q422" s="343">
        <v>73.146380947597009</v>
      </c>
      <c r="R422" s="344">
        <v>0.56350282214611291</v>
      </c>
      <c r="S422" s="344">
        <v>0.9780147585252621</v>
      </c>
      <c r="T422" s="343">
        <v>125536.83</v>
      </c>
      <c r="U422" s="342">
        <v>96823.02</v>
      </c>
      <c r="V422" s="342">
        <v>3315.44</v>
      </c>
      <c r="W422" s="344">
        <f t="shared" si="62"/>
        <v>3.424227007172468E-2</v>
      </c>
      <c r="X422" s="342">
        <v>3767.72</v>
      </c>
      <c r="Y422" s="344">
        <f t="shared" si="63"/>
        <v>3.8913473262866614E-2</v>
      </c>
      <c r="Z422" s="342">
        <v>693.5</v>
      </c>
      <c r="AA422" s="344">
        <f t="shared" si="56"/>
        <v>7.1625528722405064E-3</v>
      </c>
      <c r="AB422" s="342">
        <v>8026.99</v>
      </c>
      <c r="AC422" s="344">
        <f t="shared" si="64"/>
        <v>8.2903735082834634E-2</v>
      </c>
      <c r="AD422" s="342">
        <v>28713.81</v>
      </c>
      <c r="AE422" s="342">
        <v>3368.39</v>
      </c>
      <c r="AF422" s="344">
        <f t="shared" si="57"/>
        <v>0.11730905790628271</v>
      </c>
      <c r="AG422" s="342">
        <v>1827.34</v>
      </c>
      <c r="AH422" s="344">
        <f t="shared" si="58"/>
        <v>6.3639760798027148E-2</v>
      </c>
      <c r="AI422" s="342">
        <v>1207.04</v>
      </c>
      <c r="AJ422" s="344">
        <f t="shared" si="59"/>
        <v>4.203691533795062E-2</v>
      </c>
      <c r="AK422" s="342">
        <v>13738.93</v>
      </c>
      <c r="AL422" s="784">
        <f t="shared" si="60"/>
        <v>0.47847812603064516</v>
      </c>
      <c r="AM422" s="350">
        <v>36.184135610301425</v>
      </c>
      <c r="AN422" s="350">
        <v>30.724355440709999</v>
      </c>
      <c r="AO422" s="350">
        <v>90.282381917272218</v>
      </c>
      <c r="AP422" s="639">
        <f t="shared" si="61"/>
        <v>6.0523070574883285E-2</v>
      </c>
    </row>
    <row r="423" spans="1:42" x14ac:dyDescent="0.2">
      <c r="A423" s="638">
        <v>42614</v>
      </c>
      <c r="B423" s="341" t="s">
        <v>135</v>
      </c>
      <c r="C423" s="351" t="s">
        <v>182</v>
      </c>
      <c r="D423" s="342">
        <v>0</v>
      </c>
      <c r="E423" s="342">
        <v>0</v>
      </c>
      <c r="F423" s="342">
        <v>0</v>
      </c>
      <c r="G423" s="342">
        <v>100</v>
      </c>
      <c r="H423" s="342">
        <v>0</v>
      </c>
      <c r="I423" s="342">
        <v>100</v>
      </c>
      <c r="J423" s="342">
        <v>0</v>
      </c>
      <c r="K423" s="343">
        <v>100</v>
      </c>
      <c r="L423" s="342">
        <v>0</v>
      </c>
      <c r="M423" s="342">
        <v>-209.63000297546401</v>
      </c>
      <c r="N423" s="354">
        <v>0</v>
      </c>
      <c r="O423" s="343" t="s">
        <v>311</v>
      </c>
      <c r="P423" s="343" t="s">
        <v>311</v>
      </c>
      <c r="Q423" s="343" t="s">
        <v>311</v>
      </c>
      <c r="R423" s="344" t="s">
        <v>312</v>
      </c>
      <c r="S423" s="344">
        <v>0.47703095253833694</v>
      </c>
      <c r="T423" s="343">
        <v>-108.25</v>
      </c>
      <c r="U423" s="342">
        <v>-108.25</v>
      </c>
      <c r="V423" s="342">
        <v>0</v>
      </c>
      <c r="W423" s="344">
        <v>0</v>
      </c>
      <c r="X423" s="342">
        <v>0</v>
      </c>
      <c r="Y423" s="344">
        <f t="shared" si="63"/>
        <v>0</v>
      </c>
      <c r="Z423" s="342">
        <v>0</v>
      </c>
      <c r="AA423" s="344">
        <f t="shared" si="56"/>
        <v>0</v>
      </c>
      <c r="AB423" s="342">
        <v>-108.25</v>
      </c>
      <c r="AC423" s="344">
        <v>0</v>
      </c>
      <c r="AD423" s="342">
        <v>0</v>
      </c>
      <c r="AE423" s="342">
        <v>0</v>
      </c>
      <c r="AF423" s="344" t="str">
        <f t="shared" si="57"/>
        <v>0.00%</v>
      </c>
      <c r="AG423" s="342">
        <v>0</v>
      </c>
      <c r="AH423" s="344" t="str">
        <f t="shared" si="58"/>
        <v>0.00%</v>
      </c>
      <c r="AI423" s="342">
        <v>0</v>
      </c>
      <c r="AJ423" s="344">
        <f t="shared" si="59"/>
        <v>0</v>
      </c>
      <c r="AK423" s="342">
        <v>0</v>
      </c>
      <c r="AL423" s="784" t="str">
        <f t="shared" si="60"/>
        <v>0.00%</v>
      </c>
      <c r="AM423" s="350" t="s">
        <v>313</v>
      </c>
      <c r="AN423" s="350" t="s">
        <v>313</v>
      </c>
      <c r="AO423" s="350" t="s">
        <v>313</v>
      </c>
      <c r="AP423" s="639">
        <f t="shared" si="61"/>
        <v>0</v>
      </c>
    </row>
    <row r="424" spans="1:42" x14ac:dyDescent="0.2">
      <c r="A424" s="638">
        <v>42614</v>
      </c>
      <c r="B424" s="341" t="s">
        <v>135</v>
      </c>
      <c r="C424" s="351" t="s">
        <v>183</v>
      </c>
      <c r="D424" s="342">
        <v>169757.36000061</v>
      </c>
      <c r="E424" s="342">
        <v>11691</v>
      </c>
      <c r="F424" s="342">
        <v>158066.36000061</v>
      </c>
      <c r="G424" s="342">
        <v>111631.200686831</v>
      </c>
      <c r="H424" s="342">
        <v>54734.050453204698</v>
      </c>
      <c r="I424" s="342">
        <v>56897.150233626402</v>
      </c>
      <c r="J424" s="342">
        <v>10351.4200459514</v>
      </c>
      <c r="K424" s="343">
        <v>101279.7806408797</v>
      </c>
      <c r="L424" s="342">
        <v>59217.0594706349</v>
      </c>
      <c r="M424" s="342">
        <v>5120.5200153626502</v>
      </c>
      <c r="N424" s="354">
        <v>923</v>
      </c>
      <c r="O424" s="343">
        <v>183.91913326176598</v>
      </c>
      <c r="P424" s="343">
        <v>114.21428008083689</v>
      </c>
      <c r="Q424" s="343">
        <v>120.94387940068376</v>
      </c>
      <c r="R424" s="344">
        <v>0.65759269987722457</v>
      </c>
      <c r="S424" s="344">
        <v>1.1742203203728325</v>
      </c>
      <c r="T424" s="343">
        <v>152294.75999999998</v>
      </c>
      <c r="U424" s="342">
        <v>111384.51999999999</v>
      </c>
      <c r="V424" s="342">
        <v>3930.25</v>
      </c>
      <c r="W424" s="344">
        <f t="shared" si="62"/>
        <v>3.5285423863208286E-2</v>
      </c>
      <c r="X424" s="342">
        <v>1550.3</v>
      </c>
      <c r="Y424" s="344">
        <f t="shared" si="63"/>
        <v>1.3918451145634959E-2</v>
      </c>
      <c r="Z424" s="342">
        <v>987.48</v>
      </c>
      <c r="AA424" s="344">
        <f t="shared" si="56"/>
        <v>8.8655048295759598E-3</v>
      </c>
      <c r="AB424" s="342">
        <v>12830.65</v>
      </c>
      <c r="AC424" s="344">
        <f t="shared" si="64"/>
        <v>0.11519239836918094</v>
      </c>
      <c r="AD424" s="342">
        <v>40910.239999999998</v>
      </c>
      <c r="AE424" s="342">
        <v>5470.04</v>
      </c>
      <c r="AF424" s="344">
        <f t="shared" si="57"/>
        <v>0.13370833317037495</v>
      </c>
      <c r="AG424" s="342">
        <v>2829.03</v>
      </c>
      <c r="AH424" s="344">
        <f t="shared" si="58"/>
        <v>6.915212426033189E-2</v>
      </c>
      <c r="AI424" s="342">
        <v>2846.64</v>
      </c>
      <c r="AJ424" s="344">
        <f t="shared" si="59"/>
        <v>6.9582578836007811E-2</v>
      </c>
      <c r="AK424" s="342">
        <v>19166.98</v>
      </c>
      <c r="AL424" s="784">
        <f t="shared" si="60"/>
        <v>0.46851301776767873</v>
      </c>
      <c r="AM424" s="350">
        <v>25.974905259245972</v>
      </c>
      <c r="AN424" s="350">
        <v>20.252201823787928</v>
      </c>
      <c r="AO424" s="350">
        <v>112.61424456196428</v>
      </c>
      <c r="AP424" s="639">
        <f t="shared" si="61"/>
        <v>9.8192388519691226E-2</v>
      </c>
    </row>
    <row r="425" spans="1:42" x14ac:dyDescent="0.2">
      <c r="A425" s="638">
        <v>42614</v>
      </c>
      <c r="B425" s="341" t="s">
        <v>135</v>
      </c>
      <c r="C425" s="351" t="s">
        <v>184</v>
      </c>
      <c r="D425" s="342">
        <v>0</v>
      </c>
      <c r="E425" s="342">
        <v>0</v>
      </c>
      <c r="F425" s="342">
        <v>0</v>
      </c>
      <c r="G425" s="342">
        <v>0</v>
      </c>
      <c r="H425" s="342">
        <v>0</v>
      </c>
      <c r="I425" s="342">
        <v>0</v>
      </c>
      <c r="J425" s="342">
        <v>0</v>
      </c>
      <c r="K425" s="343">
        <v>0</v>
      </c>
      <c r="L425" s="342">
        <v>0</v>
      </c>
      <c r="M425" s="342">
        <v>-10</v>
      </c>
      <c r="N425" s="354">
        <v>0</v>
      </c>
      <c r="O425" s="343" t="s">
        <v>311</v>
      </c>
      <c r="P425" s="343" t="s">
        <v>311</v>
      </c>
      <c r="Q425" s="343" t="s">
        <v>311</v>
      </c>
      <c r="R425" s="344" t="s">
        <v>312</v>
      </c>
      <c r="S425" s="344">
        <v>0</v>
      </c>
      <c r="T425" s="343">
        <v>0</v>
      </c>
      <c r="U425" s="342">
        <v>0</v>
      </c>
      <c r="V425" s="342">
        <v>0</v>
      </c>
      <c r="W425" s="344" t="str">
        <f t="shared" si="62"/>
        <v>0.00%</v>
      </c>
      <c r="X425" s="342">
        <v>0</v>
      </c>
      <c r="Y425" s="344" t="str">
        <f t="shared" si="63"/>
        <v>0.00%</v>
      </c>
      <c r="Z425" s="342">
        <v>0</v>
      </c>
      <c r="AA425" s="344">
        <f t="shared" si="56"/>
        <v>0</v>
      </c>
      <c r="AB425" s="342">
        <v>0</v>
      </c>
      <c r="AC425" s="344" t="str">
        <f t="shared" si="64"/>
        <v>0.00%</v>
      </c>
      <c r="AD425" s="342">
        <v>0</v>
      </c>
      <c r="AE425" s="342">
        <v>0</v>
      </c>
      <c r="AF425" s="344" t="str">
        <f t="shared" si="57"/>
        <v>0.00%</v>
      </c>
      <c r="AG425" s="342">
        <v>0</v>
      </c>
      <c r="AH425" s="344" t="str">
        <f t="shared" si="58"/>
        <v>0.00%</v>
      </c>
      <c r="AI425" s="342">
        <v>0</v>
      </c>
      <c r="AJ425" s="344">
        <f t="shared" si="59"/>
        <v>0</v>
      </c>
      <c r="AK425" s="342">
        <v>0</v>
      </c>
      <c r="AL425" s="784" t="str">
        <f t="shared" si="60"/>
        <v>0.00%</v>
      </c>
      <c r="AM425" s="350">
        <v>0</v>
      </c>
      <c r="AN425" s="350">
        <v>0</v>
      </c>
      <c r="AO425" s="350">
        <v>0</v>
      </c>
      <c r="AP425" s="639">
        <f t="shared" si="61"/>
        <v>0</v>
      </c>
    </row>
    <row r="426" spans="1:42" x14ac:dyDescent="0.2">
      <c r="A426" s="638">
        <v>42614</v>
      </c>
      <c r="B426" s="341" t="s">
        <v>135</v>
      </c>
      <c r="C426" s="351" t="s">
        <v>185</v>
      </c>
      <c r="D426" s="342">
        <v>136271.939998168</v>
      </c>
      <c r="E426" s="342">
        <v>5335</v>
      </c>
      <c r="F426" s="342">
        <v>130936.939998168</v>
      </c>
      <c r="G426" s="342">
        <v>87017.110473403707</v>
      </c>
      <c r="H426" s="342">
        <v>52298.3102588654</v>
      </c>
      <c r="I426" s="342">
        <v>34718.800214538402</v>
      </c>
      <c r="J426" s="342">
        <v>7103.4300265107304</v>
      </c>
      <c r="K426" s="343">
        <v>79913.680446893064</v>
      </c>
      <c r="L426" s="342">
        <v>54269.939709663398</v>
      </c>
      <c r="M426" s="342">
        <v>2073.1800133250699</v>
      </c>
      <c r="N426" s="354">
        <v>700</v>
      </c>
      <c r="O426" s="343">
        <v>194.67419999738286</v>
      </c>
      <c r="P426" s="343">
        <v>114.18402896454221</v>
      </c>
      <c r="Q426" s="343">
        <v>124.31015781914827</v>
      </c>
      <c r="R426" s="344">
        <v>0.63855486664806871</v>
      </c>
      <c r="S426" s="344">
        <v>1.1948732464910394</v>
      </c>
      <c r="T426" s="343">
        <v>124535.02000000002</v>
      </c>
      <c r="U426" s="342">
        <v>94978.090000000011</v>
      </c>
      <c r="V426" s="342">
        <v>3057.77</v>
      </c>
      <c r="W426" s="344">
        <f t="shared" si="62"/>
        <v>3.2194477694803082E-2</v>
      </c>
      <c r="X426" s="342">
        <v>1085.57</v>
      </c>
      <c r="Y426" s="344">
        <f t="shared" si="63"/>
        <v>1.1429688678725796E-2</v>
      </c>
      <c r="Z426" s="342">
        <v>1166.92</v>
      </c>
      <c r="AA426" s="344">
        <f t="shared" si="56"/>
        <v>1.2286202007220822E-2</v>
      </c>
      <c r="AB426" s="342">
        <v>11356.33</v>
      </c>
      <c r="AC426" s="344">
        <f t="shared" si="64"/>
        <v>0.11956789192117886</v>
      </c>
      <c r="AD426" s="342">
        <v>29556.93</v>
      </c>
      <c r="AE426" s="342">
        <v>2305.98</v>
      </c>
      <c r="AF426" s="344">
        <f t="shared" si="57"/>
        <v>7.8018251557249008E-2</v>
      </c>
      <c r="AG426" s="342">
        <v>2214.96</v>
      </c>
      <c r="AH426" s="344">
        <f t="shared" si="58"/>
        <v>7.4938770704535279E-2</v>
      </c>
      <c r="AI426" s="342">
        <v>1500.2</v>
      </c>
      <c r="AJ426" s="344">
        <f t="shared" si="59"/>
        <v>5.075628625841723E-2</v>
      </c>
      <c r="AK426" s="342">
        <v>14798.2</v>
      </c>
      <c r="AL426" s="784">
        <f t="shared" si="60"/>
        <v>0.50066769451360482</v>
      </c>
      <c r="AM426" s="350">
        <v>27.498165280800734</v>
      </c>
      <c r="AN426" s="350">
        <v>22.287458248952724</v>
      </c>
      <c r="AO426" s="350">
        <v>110.55748721998253</v>
      </c>
      <c r="AP426" s="639">
        <f t="shared" si="61"/>
        <v>8.8871948842169673E-2</v>
      </c>
    </row>
    <row r="427" spans="1:42" x14ac:dyDescent="0.2">
      <c r="A427" s="638">
        <v>42614</v>
      </c>
      <c r="B427" s="341" t="s">
        <v>135</v>
      </c>
      <c r="C427" s="351" t="s">
        <v>179</v>
      </c>
      <c r="D427" s="342">
        <v>96309.700002441197</v>
      </c>
      <c r="E427" s="342">
        <v>9279</v>
      </c>
      <c r="F427" s="342">
        <v>87030.700002441197</v>
      </c>
      <c r="G427" s="342">
        <v>62780.650240212701</v>
      </c>
      <c r="H427" s="342">
        <v>33068.200175553597</v>
      </c>
      <c r="I427" s="342">
        <v>29712.4500646591</v>
      </c>
      <c r="J427" s="342">
        <v>5252.1600022315997</v>
      </c>
      <c r="K427" s="343">
        <v>57528.490237981096</v>
      </c>
      <c r="L427" s="342">
        <v>35397.779826313301</v>
      </c>
      <c r="M427" s="342">
        <v>3731.5900216698601</v>
      </c>
      <c r="N427" s="354">
        <v>507</v>
      </c>
      <c r="O427" s="343">
        <v>189.95996055708324</v>
      </c>
      <c r="P427" s="343">
        <v>112.78171628098232</v>
      </c>
      <c r="Q427" s="343">
        <v>123.82771250535048</v>
      </c>
      <c r="R427" s="344">
        <v>0.65186217212410968</v>
      </c>
      <c r="S427" s="344">
        <v>1.2089902273885718</v>
      </c>
      <c r="T427" s="343">
        <v>89918.21</v>
      </c>
      <c r="U427" s="342">
        <v>65918.58</v>
      </c>
      <c r="V427" s="342">
        <v>1531.04</v>
      </c>
      <c r="W427" s="344">
        <f t="shared" si="62"/>
        <v>2.3226228477615869E-2</v>
      </c>
      <c r="X427" s="342">
        <v>2824.97</v>
      </c>
      <c r="Y427" s="344">
        <f t="shared" si="63"/>
        <v>4.285544379141662E-2</v>
      </c>
      <c r="Z427" s="342">
        <v>-106.98</v>
      </c>
      <c r="AA427" s="344">
        <v>0</v>
      </c>
      <c r="AB427" s="342">
        <v>5474.05</v>
      </c>
      <c r="AC427" s="344">
        <f t="shared" si="64"/>
        <v>8.304259588116128E-2</v>
      </c>
      <c r="AD427" s="342">
        <v>23999.63</v>
      </c>
      <c r="AE427" s="342">
        <v>3010.55</v>
      </c>
      <c r="AF427" s="344">
        <f t="shared" si="57"/>
        <v>0.12544151722339053</v>
      </c>
      <c r="AG427" s="342">
        <v>2143.4899999999998</v>
      </c>
      <c r="AH427" s="344">
        <f t="shared" si="58"/>
        <v>8.9313460249178828E-2</v>
      </c>
      <c r="AI427" s="342">
        <v>2440.21</v>
      </c>
      <c r="AJ427" s="344">
        <f t="shared" si="59"/>
        <v>0.10167698418683954</v>
      </c>
      <c r="AK427" s="342">
        <v>8626.23</v>
      </c>
      <c r="AL427" s="784">
        <f t="shared" si="60"/>
        <v>0.35943179124011493</v>
      </c>
      <c r="AM427" s="350">
        <v>26.351281082726164</v>
      </c>
      <c r="AN427" s="350">
        <v>21.201359034119228</v>
      </c>
      <c r="AO427" s="350">
        <v>79.174762655327896</v>
      </c>
      <c r="AP427" s="639">
        <f t="shared" si="61"/>
        <v>9.1852565174846537E-2</v>
      </c>
    </row>
    <row r="428" spans="1:42" x14ac:dyDescent="0.2">
      <c r="A428" s="638">
        <v>42614</v>
      </c>
      <c r="B428" s="341" t="s">
        <v>135</v>
      </c>
      <c r="C428" s="351" t="s">
        <v>186</v>
      </c>
      <c r="D428" s="342">
        <v>80488.5</v>
      </c>
      <c r="E428" s="342">
        <v>6484</v>
      </c>
      <c r="F428" s="342">
        <v>74004.5</v>
      </c>
      <c r="G428" s="342">
        <v>52750.900243163102</v>
      </c>
      <c r="H428" s="342">
        <v>28420.600147604899</v>
      </c>
      <c r="I428" s="342">
        <v>24330.300095558199</v>
      </c>
      <c r="J428" s="342">
        <v>5071.7300111651402</v>
      </c>
      <c r="K428" s="343">
        <v>47679.170231997952</v>
      </c>
      <c r="L428" s="342">
        <v>32385.439739823301</v>
      </c>
      <c r="M428" s="342">
        <v>-85</v>
      </c>
      <c r="N428" s="354">
        <v>435</v>
      </c>
      <c r="O428" s="343">
        <v>185.03103448275863</v>
      </c>
      <c r="P428" s="343">
        <v>110.77715002339471</v>
      </c>
      <c r="Q428" s="343">
        <v>121.26643734060481</v>
      </c>
      <c r="R428" s="344">
        <v>0.65538431258084195</v>
      </c>
      <c r="S428" s="344">
        <v>1.2234552416337057</v>
      </c>
      <c r="T428" s="343">
        <v>65395.53</v>
      </c>
      <c r="U428" s="342">
        <v>50940.25</v>
      </c>
      <c r="V428" s="342">
        <v>1398.96</v>
      </c>
      <c r="W428" s="344">
        <f t="shared" si="62"/>
        <v>2.7462762746551107E-2</v>
      </c>
      <c r="X428" s="342">
        <v>1437.25</v>
      </c>
      <c r="Y428" s="344">
        <f t="shared" si="63"/>
        <v>2.8214427687339578E-2</v>
      </c>
      <c r="Z428" s="342">
        <v>610</v>
      </c>
      <c r="AA428" s="344">
        <f t="shared" si="56"/>
        <v>1.1974813629693612E-2</v>
      </c>
      <c r="AB428" s="342">
        <v>4589.4399999999996</v>
      </c>
      <c r="AC428" s="344">
        <f t="shared" si="64"/>
        <v>9.0094571581411542E-2</v>
      </c>
      <c r="AD428" s="342">
        <v>14455.279999999999</v>
      </c>
      <c r="AE428" s="342">
        <v>1613.99</v>
      </c>
      <c r="AF428" s="344">
        <f t="shared" si="57"/>
        <v>0.11165401154457058</v>
      </c>
      <c r="AG428" s="342">
        <v>1760.47</v>
      </c>
      <c r="AH428" s="344">
        <f t="shared" si="58"/>
        <v>0.12178733307137601</v>
      </c>
      <c r="AI428" s="342">
        <v>795.63</v>
      </c>
      <c r="AJ428" s="344">
        <f t="shared" si="59"/>
        <v>5.5040787864365136E-2</v>
      </c>
      <c r="AK428" s="342">
        <v>5375.02</v>
      </c>
      <c r="AL428" s="784">
        <f t="shared" si="60"/>
        <v>0.37183783364971146</v>
      </c>
      <c r="AM428" s="350">
        <v>22.291124026192875</v>
      </c>
      <c r="AN428" s="350">
        <v>18.775413395736162</v>
      </c>
      <c r="AO428" s="350">
        <v>65.537010729938032</v>
      </c>
      <c r="AP428" s="639">
        <f t="shared" si="61"/>
        <v>0.10524868574874947</v>
      </c>
    </row>
    <row r="429" spans="1:42" x14ac:dyDescent="0.2">
      <c r="A429" s="638">
        <v>42614</v>
      </c>
      <c r="B429" s="341" t="s">
        <v>135</v>
      </c>
      <c r="C429" s="351" t="s">
        <v>187</v>
      </c>
      <c r="D429" s="342">
        <v>107918.419998169</v>
      </c>
      <c r="E429" s="342">
        <v>7221</v>
      </c>
      <c r="F429" s="342">
        <v>100697.419998169</v>
      </c>
      <c r="G429" s="342">
        <v>68452.230348348603</v>
      </c>
      <c r="H429" s="342">
        <v>38339.2502288818</v>
      </c>
      <c r="I429" s="342">
        <v>30112.9801194668</v>
      </c>
      <c r="J429" s="342">
        <v>5879.9000288341203</v>
      </c>
      <c r="K429" s="343">
        <v>62572.330319514484</v>
      </c>
      <c r="L429" s="342">
        <v>40562.8496605158</v>
      </c>
      <c r="M429" s="342">
        <v>1374.8199853897099</v>
      </c>
      <c r="N429" s="354">
        <v>537</v>
      </c>
      <c r="O429" s="343">
        <v>200.96540036902979</v>
      </c>
      <c r="P429" s="343">
        <v>122.86918128913128</v>
      </c>
      <c r="Q429" s="343">
        <v>127.47156489450391</v>
      </c>
      <c r="R429" s="344">
        <v>0.63429607614260841</v>
      </c>
      <c r="S429" s="344">
        <v>1.1389561042810001</v>
      </c>
      <c r="T429" s="343">
        <v>82785.62</v>
      </c>
      <c r="U429" s="342">
        <v>66050.5</v>
      </c>
      <c r="V429" s="342">
        <v>1242.75</v>
      </c>
      <c r="W429" s="344">
        <f t="shared" si="62"/>
        <v>1.8815149014769002E-2</v>
      </c>
      <c r="X429" s="342">
        <v>759.69</v>
      </c>
      <c r="Y429" s="344">
        <f t="shared" si="63"/>
        <v>1.150165403744105E-2</v>
      </c>
      <c r="Z429" s="342">
        <v>361.8</v>
      </c>
      <c r="AA429" s="344">
        <f t="shared" si="56"/>
        <v>5.4776269672447602E-3</v>
      </c>
      <c r="AB429" s="342">
        <v>4423.93</v>
      </c>
      <c r="AC429" s="344">
        <f t="shared" si="64"/>
        <v>6.6977994110566916E-2</v>
      </c>
      <c r="AD429" s="342">
        <v>16735.12</v>
      </c>
      <c r="AE429" s="342">
        <v>1187.43</v>
      </c>
      <c r="AF429" s="344">
        <f t="shared" si="57"/>
        <v>7.0954376186128348E-2</v>
      </c>
      <c r="AG429" s="342">
        <v>1526.61</v>
      </c>
      <c r="AH429" s="344">
        <f t="shared" si="58"/>
        <v>9.1221933275650244E-2</v>
      </c>
      <c r="AI429" s="342">
        <v>1773.28</v>
      </c>
      <c r="AJ429" s="344">
        <f t="shared" si="59"/>
        <v>0.1059615945389098</v>
      </c>
      <c r="AK429" s="342">
        <v>7084.12</v>
      </c>
      <c r="AL429" s="784">
        <f t="shared" si="60"/>
        <v>0.42330858697159029</v>
      </c>
      <c r="AM429" s="350">
        <v>23.536958226903216</v>
      </c>
      <c r="AN429" s="350">
        <v>20.318057826355101</v>
      </c>
      <c r="AO429" s="350">
        <v>62.811660202677331</v>
      </c>
      <c r="AP429" s="639">
        <f t="shared" si="61"/>
        <v>8.9115385888187432E-2</v>
      </c>
    </row>
    <row r="430" spans="1:42" x14ac:dyDescent="0.2">
      <c r="A430" s="638">
        <v>42614</v>
      </c>
      <c r="B430" s="341" t="s">
        <v>135</v>
      </c>
      <c r="C430" s="351" t="s">
        <v>188</v>
      </c>
      <c r="D430" s="342">
        <v>116029</v>
      </c>
      <c r="E430" s="342">
        <v>7065</v>
      </c>
      <c r="F430" s="342">
        <v>108964</v>
      </c>
      <c r="G430" s="342">
        <v>74659.200437545805</v>
      </c>
      <c r="H430" s="342">
        <v>40472.130326747902</v>
      </c>
      <c r="I430" s="342">
        <v>34187.070110797897</v>
      </c>
      <c r="J430" s="342">
        <v>6095.1000418066997</v>
      </c>
      <c r="K430" s="343">
        <v>68564.100395739108</v>
      </c>
      <c r="L430" s="342">
        <v>42435.429616928101</v>
      </c>
      <c r="M430" s="342">
        <v>3615.0300122201402</v>
      </c>
      <c r="N430" s="354">
        <v>703</v>
      </c>
      <c r="O430" s="343">
        <v>165.04836415362732</v>
      </c>
      <c r="P430" s="343">
        <v>99.542731679732228</v>
      </c>
      <c r="Q430" s="343">
        <v>106.20085410746202</v>
      </c>
      <c r="R430" s="344">
        <v>0.64345293364198441</v>
      </c>
      <c r="S430" s="344">
        <v>1.1686784564669332</v>
      </c>
      <c r="T430" s="343">
        <v>106029.12</v>
      </c>
      <c r="U430" s="342">
        <v>80274.259999999995</v>
      </c>
      <c r="V430" s="342">
        <v>1132.81</v>
      </c>
      <c r="W430" s="344">
        <f t="shared" si="62"/>
        <v>1.4111746405385737E-2</v>
      </c>
      <c r="X430" s="342">
        <v>1207.73</v>
      </c>
      <c r="Y430" s="344">
        <f t="shared" si="63"/>
        <v>1.5045046818245351E-2</v>
      </c>
      <c r="Z430" s="342">
        <v>1794.5</v>
      </c>
      <c r="AA430" s="344">
        <f t="shared" si="56"/>
        <v>2.235461279867295E-2</v>
      </c>
      <c r="AB430" s="342">
        <v>5947.4</v>
      </c>
      <c r="AC430" s="344">
        <f t="shared" si="64"/>
        <v>7.4088506079034555E-2</v>
      </c>
      <c r="AD430" s="342">
        <v>25754.86</v>
      </c>
      <c r="AE430" s="342">
        <v>2954.53</v>
      </c>
      <c r="AF430" s="344">
        <f t="shared" si="57"/>
        <v>0.11471737761339025</v>
      </c>
      <c r="AG430" s="342">
        <v>3046.45</v>
      </c>
      <c r="AH430" s="344">
        <f t="shared" si="58"/>
        <v>0.11828641273918786</v>
      </c>
      <c r="AI430" s="342">
        <v>3147.81</v>
      </c>
      <c r="AJ430" s="344">
        <f t="shared" si="59"/>
        <v>0.12222198062812221</v>
      </c>
      <c r="AK430" s="342">
        <v>10510.27</v>
      </c>
      <c r="AL430" s="784">
        <f t="shared" si="60"/>
        <v>0.40808880343360437</v>
      </c>
      <c r="AM430" s="350">
        <v>26.743675519173248</v>
      </c>
      <c r="AN430" s="350">
        <v>22.10607925422665</v>
      </c>
      <c r="AO430" s="350">
        <v>77.267155571852399</v>
      </c>
      <c r="AP430" s="639">
        <f t="shared" si="61"/>
        <v>8.7099559515040975E-2</v>
      </c>
    </row>
    <row r="431" spans="1:42" x14ac:dyDescent="0.2">
      <c r="A431" s="638">
        <v>42614</v>
      </c>
      <c r="B431" s="341" t="s">
        <v>136</v>
      </c>
      <c r="C431" s="351" t="s">
        <v>189</v>
      </c>
      <c r="D431" s="342">
        <v>107408.230004577</v>
      </c>
      <c r="E431" s="342">
        <v>6225</v>
      </c>
      <c r="F431" s="342">
        <v>101183.230004577</v>
      </c>
      <c r="G431" s="342">
        <v>73165.969939287796</v>
      </c>
      <c r="H431" s="342">
        <v>37324.199910163901</v>
      </c>
      <c r="I431" s="342">
        <v>35841.770029123902</v>
      </c>
      <c r="J431" s="342">
        <v>5409.9000067710904</v>
      </c>
      <c r="K431" s="343">
        <v>67756.069932516722</v>
      </c>
      <c r="L431" s="342">
        <v>42796.010052928701</v>
      </c>
      <c r="M431" s="342">
        <v>3727.3400201797499</v>
      </c>
      <c r="N431" s="354">
        <v>513</v>
      </c>
      <c r="O431" s="343">
        <v>209.37276804011111</v>
      </c>
      <c r="P431" s="343">
        <v>118.68397647459756</v>
      </c>
      <c r="Q431" s="343">
        <v>142.62372307853374</v>
      </c>
      <c r="R431" s="344">
        <v>0.68119519273495133</v>
      </c>
      <c r="S431" s="344">
        <v>1.3189003409934417</v>
      </c>
      <c r="T431" s="343">
        <v>90758.68</v>
      </c>
      <c r="U431" s="342">
        <v>63788.7</v>
      </c>
      <c r="V431" s="342">
        <v>2087.4699999999998</v>
      </c>
      <c r="W431" s="344">
        <f t="shared" si="62"/>
        <v>3.2724761595705823E-2</v>
      </c>
      <c r="X431" s="342">
        <v>1212.94</v>
      </c>
      <c r="Y431" s="344">
        <f t="shared" si="63"/>
        <v>1.9014966600667517E-2</v>
      </c>
      <c r="Z431" s="342">
        <v>827.45</v>
      </c>
      <c r="AA431" s="344">
        <f t="shared" si="56"/>
        <v>1.2971733238018647E-2</v>
      </c>
      <c r="AB431" s="342">
        <v>3950.35</v>
      </c>
      <c r="AC431" s="344">
        <f t="shared" si="64"/>
        <v>6.1928680158084427E-2</v>
      </c>
      <c r="AD431" s="342">
        <v>26969.98</v>
      </c>
      <c r="AE431" s="342">
        <v>2884.28</v>
      </c>
      <c r="AF431" s="344">
        <f t="shared" si="57"/>
        <v>0.10694409117099828</v>
      </c>
      <c r="AG431" s="342">
        <v>980.41</v>
      </c>
      <c r="AH431" s="344">
        <f t="shared" si="58"/>
        <v>3.6351899408156772E-2</v>
      </c>
      <c r="AI431" s="342">
        <v>1088.98</v>
      </c>
      <c r="AJ431" s="344">
        <f t="shared" si="59"/>
        <v>4.0377486375592422E-2</v>
      </c>
      <c r="AK431" s="342">
        <v>12495.28</v>
      </c>
      <c r="AL431" s="784">
        <f t="shared" si="60"/>
        <v>0.46330327274992422</v>
      </c>
      <c r="AM431" s="350">
        <v>25.203478218240239</v>
      </c>
      <c r="AN431" s="350">
        <v>18.846102975492105</v>
      </c>
      <c r="AO431" s="350">
        <v>124.67503210231651</v>
      </c>
      <c r="AP431" s="639">
        <f t="shared" si="61"/>
        <v>8.8854572972147161E-2</v>
      </c>
    </row>
    <row r="432" spans="1:42" x14ac:dyDescent="0.2">
      <c r="A432" s="638">
        <v>42614</v>
      </c>
      <c r="B432" s="341" t="s">
        <v>136</v>
      </c>
      <c r="C432" s="351" t="s">
        <v>190</v>
      </c>
      <c r="D432" s="342">
        <v>134190.540001182</v>
      </c>
      <c r="E432" s="342">
        <v>6971</v>
      </c>
      <c r="F432" s="342">
        <v>127219.540001182</v>
      </c>
      <c r="G432" s="342">
        <v>89828.029967959999</v>
      </c>
      <c r="H432" s="342">
        <v>42147.569841083103</v>
      </c>
      <c r="I432" s="342">
        <v>47680.460126876802</v>
      </c>
      <c r="J432" s="342">
        <v>7192.2900211811102</v>
      </c>
      <c r="K432" s="343">
        <v>82635.739946778805</v>
      </c>
      <c r="L432" s="342">
        <v>38766.210147399499</v>
      </c>
      <c r="M432" s="342">
        <v>5886.6099905967703</v>
      </c>
      <c r="N432" s="354">
        <v>665</v>
      </c>
      <c r="O432" s="343">
        <v>201.79028571606315</v>
      </c>
      <c r="P432" s="343">
        <v>134.64318776418907</v>
      </c>
      <c r="Q432" s="343">
        <v>135.07974431272166</v>
      </c>
      <c r="R432" s="344">
        <v>0.66940657640373658</v>
      </c>
      <c r="S432" s="344">
        <v>1.0908684324110285</v>
      </c>
      <c r="T432" s="343">
        <v>122062.78</v>
      </c>
      <c r="U432" s="342">
        <v>82751.5</v>
      </c>
      <c r="V432" s="342">
        <v>1932.16</v>
      </c>
      <c r="W432" s="344">
        <f t="shared" si="62"/>
        <v>2.3348942315245043E-2</v>
      </c>
      <c r="X432" s="342">
        <v>1462.15</v>
      </c>
      <c r="Y432" s="344">
        <f t="shared" si="63"/>
        <v>1.7669166117834725E-2</v>
      </c>
      <c r="Z432" s="342">
        <v>783.74</v>
      </c>
      <c r="AA432" s="344">
        <f t="shared" si="56"/>
        <v>9.4710065678567761E-3</v>
      </c>
      <c r="AB432" s="342">
        <v>3735.56</v>
      </c>
      <c r="AC432" s="344">
        <f t="shared" si="64"/>
        <v>4.5141900751043788E-2</v>
      </c>
      <c r="AD432" s="342">
        <v>39311.279999999999</v>
      </c>
      <c r="AE432" s="342">
        <v>2150</v>
      </c>
      <c r="AF432" s="344">
        <f t="shared" si="57"/>
        <v>5.4691681369825662E-2</v>
      </c>
      <c r="AG432" s="342">
        <v>4441.59</v>
      </c>
      <c r="AH432" s="344">
        <f t="shared" si="58"/>
        <v>0.11298512793274602</v>
      </c>
      <c r="AI432" s="342">
        <v>2757.89</v>
      </c>
      <c r="AJ432" s="344">
        <f t="shared" si="59"/>
        <v>7.0155181922338827E-2</v>
      </c>
      <c r="AK432" s="342">
        <v>21759.81</v>
      </c>
      <c r="AL432" s="784">
        <f t="shared" si="60"/>
        <v>0.55352585822695166</v>
      </c>
      <c r="AM432" s="350">
        <v>27.644448856609607</v>
      </c>
      <c r="AN432" s="350">
        <v>19.797019040829078</v>
      </c>
      <c r="AO432" s="350">
        <v>166.95838799490349</v>
      </c>
      <c r="AP432" s="639">
        <f t="shared" si="61"/>
        <v>8.0326928496403299E-2</v>
      </c>
    </row>
    <row r="433" spans="1:42" x14ac:dyDescent="0.2">
      <c r="A433" s="638">
        <v>42614</v>
      </c>
      <c r="B433" s="341" t="s">
        <v>136</v>
      </c>
      <c r="C433" s="351" t="s">
        <v>191</v>
      </c>
      <c r="D433" s="342">
        <v>156442.670010375</v>
      </c>
      <c r="E433" s="342">
        <v>5661.3299999237097</v>
      </c>
      <c r="F433" s="342">
        <v>150781.34001045101</v>
      </c>
      <c r="G433" s="342">
        <v>94105.860101440907</v>
      </c>
      <c r="H433" s="342">
        <v>54341.8300354276</v>
      </c>
      <c r="I433" s="342">
        <v>39764.0300660133</v>
      </c>
      <c r="J433" s="342">
        <v>5729.7600088119498</v>
      </c>
      <c r="K433" s="343">
        <v>88376.100092628942</v>
      </c>
      <c r="L433" s="342">
        <v>51805.3201828003</v>
      </c>
      <c r="M433" s="342">
        <v>3138.4700096696602</v>
      </c>
      <c r="N433" s="354">
        <v>667</v>
      </c>
      <c r="O433" s="343">
        <v>234.54673164973721</v>
      </c>
      <c r="P433" s="343">
        <v>152.1722336100521</v>
      </c>
      <c r="Q433" s="343">
        <v>141.08824602914677</v>
      </c>
      <c r="R433" s="344">
        <v>0.60153575808441606</v>
      </c>
      <c r="S433" s="344">
        <v>0.98263260943645014</v>
      </c>
      <c r="T433" s="343">
        <v>148032.89000000001</v>
      </c>
      <c r="U433" s="342">
        <v>107526.38000000002</v>
      </c>
      <c r="V433" s="342">
        <v>4541.51</v>
      </c>
      <c r="W433" s="344">
        <f t="shared" si="62"/>
        <v>4.2236240074296182E-2</v>
      </c>
      <c r="X433" s="342">
        <v>1500.55</v>
      </c>
      <c r="Y433" s="344">
        <f t="shared" si="63"/>
        <v>1.3955180114870413E-2</v>
      </c>
      <c r="Z433" s="342">
        <v>1393.96</v>
      </c>
      <c r="AA433" s="344">
        <f t="shared" si="56"/>
        <v>1.2963888489503691E-2</v>
      </c>
      <c r="AB433" s="342">
        <v>1845.21</v>
      </c>
      <c r="AC433" s="344">
        <f t="shared" si="64"/>
        <v>1.7160533071047306E-2</v>
      </c>
      <c r="AD433" s="342">
        <v>40506.51</v>
      </c>
      <c r="AE433" s="342">
        <v>4009.18</v>
      </c>
      <c r="AF433" s="344">
        <f t="shared" si="57"/>
        <v>9.8976189259454825E-2</v>
      </c>
      <c r="AG433" s="342">
        <v>2901.73</v>
      </c>
      <c r="AH433" s="344">
        <f t="shared" si="58"/>
        <v>7.1636139474864649E-2</v>
      </c>
      <c r="AI433" s="342">
        <v>4234.3500000000004</v>
      </c>
      <c r="AJ433" s="344">
        <f t="shared" si="59"/>
        <v>0.10453504881067266</v>
      </c>
      <c r="AK433" s="342">
        <v>19802.080000000002</v>
      </c>
      <c r="AL433" s="784">
        <f t="shared" si="60"/>
        <v>0.48886166692711863</v>
      </c>
      <c r="AM433" s="350">
        <v>31.27894869611216</v>
      </c>
      <c r="AN433" s="350">
        <v>23.891222288078399</v>
      </c>
      <c r="AO433" s="350">
        <v>174.59426647056441</v>
      </c>
      <c r="AP433" s="639">
        <f t="shared" si="61"/>
        <v>5.6451460539185018E-2</v>
      </c>
    </row>
    <row r="434" spans="1:42" x14ac:dyDescent="0.2">
      <c r="A434" s="638">
        <v>42614</v>
      </c>
      <c r="B434" s="341" t="s">
        <v>136</v>
      </c>
      <c r="C434" s="351" t="s">
        <v>192</v>
      </c>
      <c r="D434" s="342">
        <v>204886.640003279</v>
      </c>
      <c r="E434" s="342">
        <v>14410</v>
      </c>
      <c r="F434" s="342">
        <v>190476.640003279</v>
      </c>
      <c r="G434" s="342">
        <v>137545.24996215099</v>
      </c>
      <c r="H434" s="342">
        <v>74113.299817830295</v>
      </c>
      <c r="I434" s="342">
        <v>63431.950144320697</v>
      </c>
      <c r="J434" s="342">
        <v>9100.4700108766592</v>
      </c>
      <c r="K434" s="343">
        <v>128444.77995127434</v>
      </c>
      <c r="L434" s="342">
        <v>71514.680238723799</v>
      </c>
      <c r="M434" s="342">
        <v>6989.7600123360799</v>
      </c>
      <c r="N434" s="354">
        <v>1344</v>
      </c>
      <c r="O434" s="343">
        <v>152.44541666910641</v>
      </c>
      <c r="P434" s="343">
        <v>94.034374815639239</v>
      </c>
      <c r="Q434" s="343">
        <v>102.34021574564807</v>
      </c>
      <c r="R434" s="344">
        <v>0.67132366444171143</v>
      </c>
      <c r="S434" s="344">
        <v>1.1727764440846706</v>
      </c>
      <c r="T434" s="343">
        <v>202739.65</v>
      </c>
      <c r="U434" s="342">
        <v>136855.76999999999</v>
      </c>
      <c r="V434" s="342">
        <v>4590.67</v>
      </c>
      <c r="W434" s="344">
        <f t="shared" si="62"/>
        <v>3.3543854234278907E-2</v>
      </c>
      <c r="X434" s="342">
        <v>1042.7</v>
      </c>
      <c r="Y434" s="344">
        <f t="shared" si="63"/>
        <v>7.6189699564731548E-3</v>
      </c>
      <c r="Z434" s="342">
        <v>1671.03</v>
      </c>
      <c r="AA434" s="344">
        <f t="shared" si="56"/>
        <v>1.2210153799141973E-2</v>
      </c>
      <c r="AB434" s="342">
        <v>7545.55</v>
      </c>
      <c r="AC434" s="344">
        <f t="shared" si="64"/>
        <v>5.5135052033246396E-2</v>
      </c>
      <c r="AD434" s="342">
        <v>65883.88</v>
      </c>
      <c r="AE434" s="342">
        <v>6938.51</v>
      </c>
      <c r="AF434" s="344">
        <f t="shared" si="57"/>
        <v>0.10531422860948687</v>
      </c>
      <c r="AG434" s="342">
        <v>4640.71</v>
      </c>
      <c r="AH434" s="344">
        <f t="shared" si="58"/>
        <v>7.0437715568664142E-2</v>
      </c>
      <c r="AI434" s="342">
        <v>5739.04</v>
      </c>
      <c r="AJ434" s="344">
        <f t="shared" si="59"/>
        <v>8.7108409522936414E-2</v>
      </c>
      <c r="AK434" s="342">
        <v>30270.21</v>
      </c>
      <c r="AL434" s="784">
        <f t="shared" si="60"/>
        <v>0.45944789529699825</v>
      </c>
      <c r="AM434" s="350">
        <v>29.839517262137417</v>
      </c>
      <c r="AN434" s="350">
        <v>21.75744079118542</v>
      </c>
      <c r="AO434" s="350">
        <v>130.65285563194078</v>
      </c>
      <c r="AP434" s="639">
        <f t="shared" si="61"/>
        <v>7.2007529768580922E-2</v>
      </c>
    </row>
    <row r="435" spans="1:42" x14ac:dyDescent="0.2">
      <c r="A435" s="638">
        <v>42614</v>
      </c>
      <c r="B435" s="341" t="s">
        <v>136</v>
      </c>
      <c r="C435" s="351" t="s">
        <v>193</v>
      </c>
      <c r="D435" s="342">
        <v>48969.920004615597</v>
      </c>
      <c r="E435" s="342">
        <v>2215</v>
      </c>
      <c r="F435" s="342">
        <v>46754.920004615597</v>
      </c>
      <c r="G435" s="342">
        <v>34875.760022401802</v>
      </c>
      <c r="H435" s="342">
        <v>21581.410001277902</v>
      </c>
      <c r="I435" s="342">
        <v>13294.350021123901</v>
      </c>
      <c r="J435" s="342">
        <v>1247.4399998188001</v>
      </c>
      <c r="K435" s="343">
        <v>33628.320022583001</v>
      </c>
      <c r="L435" s="342">
        <v>22154.200033187899</v>
      </c>
      <c r="M435" s="342">
        <v>-165</v>
      </c>
      <c r="N435" s="354">
        <v>220</v>
      </c>
      <c r="O435" s="343">
        <v>222.59054547552543</v>
      </c>
      <c r="P435" s="343">
        <v>122.63963623376226</v>
      </c>
      <c r="Q435" s="343">
        <v>158.52618192000818</v>
      </c>
      <c r="R435" s="344">
        <v>0.7121874003289087</v>
      </c>
      <c r="S435" s="344">
        <v>1.3552784589014557</v>
      </c>
      <c r="T435" s="343">
        <v>39600.22</v>
      </c>
      <c r="U435" s="342">
        <v>34563.39</v>
      </c>
      <c r="V435" s="342">
        <v>1150.74</v>
      </c>
      <c r="W435" s="344">
        <f t="shared" si="62"/>
        <v>3.3293609220623327E-2</v>
      </c>
      <c r="X435" s="342">
        <v>853.53</v>
      </c>
      <c r="Y435" s="344">
        <f t="shared" si="63"/>
        <v>2.4694626308356907E-2</v>
      </c>
      <c r="Z435" s="342">
        <v>189</v>
      </c>
      <c r="AA435" s="344">
        <f t="shared" si="56"/>
        <v>5.4682136214069281E-3</v>
      </c>
      <c r="AB435" s="342">
        <v>0</v>
      </c>
      <c r="AC435" s="344">
        <f t="shared" si="64"/>
        <v>0</v>
      </c>
      <c r="AD435" s="342">
        <v>5036.8300000000008</v>
      </c>
      <c r="AE435" s="342">
        <v>659.52</v>
      </c>
      <c r="AF435" s="344">
        <f t="shared" si="57"/>
        <v>0.13093949964561041</v>
      </c>
      <c r="AG435" s="342">
        <v>570.19000000000005</v>
      </c>
      <c r="AH435" s="344">
        <f t="shared" si="58"/>
        <v>0.11320413831715583</v>
      </c>
      <c r="AI435" s="342">
        <v>369.35</v>
      </c>
      <c r="AJ435" s="344">
        <f t="shared" si="59"/>
        <v>7.3329852307899998E-2</v>
      </c>
      <c r="AK435" s="342">
        <v>178.26</v>
      </c>
      <c r="AL435" s="784">
        <f t="shared" si="60"/>
        <v>3.5391307628012056E-2</v>
      </c>
      <c r="AM435" s="350">
        <v>24.877170002822279</v>
      </c>
      <c r="AN435" s="350">
        <v>23.078214146493213</v>
      </c>
      <c r="AO435" s="350">
        <v>53.488460176991161</v>
      </c>
      <c r="AP435" s="639">
        <f t="shared" si="61"/>
        <v>4.6234496378889302E-2</v>
      </c>
    </row>
    <row r="436" spans="1:42" x14ac:dyDescent="0.2">
      <c r="A436" s="638">
        <v>42614</v>
      </c>
      <c r="B436" s="341" t="s">
        <v>136</v>
      </c>
      <c r="C436" s="351" t="s">
        <v>194</v>
      </c>
      <c r="D436" s="342">
        <v>96734.050004482298</v>
      </c>
      <c r="E436" s="342">
        <v>5095</v>
      </c>
      <c r="F436" s="342">
        <v>91639.050004482298</v>
      </c>
      <c r="G436" s="342">
        <v>65730.189911127105</v>
      </c>
      <c r="H436" s="342">
        <v>36866.649902582198</v>
      </c>
      <c r="I436" s="342">
        <v>28863.5400085449</v>
      </c>
      <c r="J436" s="342">
        <v>4786.6100140511999</v>
      </c>
      <c r="K436" s="343">
        <v>60943.579897075891</v>
      </c>
      <c r="L436" s="342">
        <v>38356.100121507399</v>
      </c>
      <c r="M436" s="342">
        <v>300.129985809326</v>
      </c>
      <c r="N436" s="354">
        <v>426</v>
      </c>
      <c r="O436" s="343">
        <v>227.07523475230587</v>
      </c>
      <c r="P436" s="343">
        <v>136.33291055672669</v>
      </c>
      <c r="Q436" s="343">
        <v>154.29622044865513</v>
      </c>
      <c r="R436" s="344">
        <v>0.67949382774815481</v>
      </c>
      <c r="S436" s="344">
        <v>1.2334152303033765</v>
      </c>
      <c r="T436" s="343">
        <v>87139.87</v>
      </c>
      <c r="U436" s="342">
        <v>63170.86</v>
      </c>
      <c r="V436" s="342">
        <v>2401.89</v>
      </c>
      <c r="W436" s="344">
        <f t="shared" si="62"/>
        <v>3.8022119692529117E-2</v>
      </c>
      <c r="X436" s="342">
        <v>1651.62</v>
      </c>
      <c r="Y436" s="344">
        <f t="shared" si="63"/>
        <v>2.6145282809193985E-2</v>
      </c>
      <c r="Z436" s="342">
        <v>183.42</v>
      </c>
      <c r="AA436" s="344">
        <f t="shared" si="56"/>
        <v>2.9035539487668838E-3</v>
      </c>
      <c r="AB436" s="342">
        <v>2183.85</v>
      </c>
      <c r="AC436" s="344">
        <f t="shared" si="64"/>
        <v>3.4570528246726413E-2</v>
      </c>
      <c r="AD436" s="342">
        <v>23969.010000000002</v>
      </c>
      <c r="AE436" s="342">
        <v>2974.43</v>
      </c>
      <c r="AF436" s="344">
        <f t="shared" si="57"/>
        <v>0.12409482077065342</v>
      </c>
      <c r="AG436" s="342">
        <v>2131.63</v>
      </c>
      <c r="AH436" s="344">
        <f t="shared" si="58"/>
        <v>8.8932751081500658E-2</v>
      </c>
      <c r="AI436" s="342">
        <v>2042.42</v>
      </c>
      <c r="AJ436" s="344">
        <f t="shared" si="59"/>
        <v>8.5210861858708381E-2</v>
      </c>
      <c r="AK436" s="342">
        <v>11095.62</v>
      </c>
      <c r="AL436" s="784">
        <f t="shared" si="60"/>
        <v>0.46291523930274969</v>
      </c>
      <c r="AM436" s="350">
        <v>24.401958978948265</v>
      </c>
      <c r="AN436" s="350">
        <v>18.957782636008822</v>
      </c>
      <c r="AO436" s="350">
        <v>100.3587299371947</v>
      </c>
      <c r="AP436" s="639">
        <f t="shared" si="61"/>
        <v>8.2417177892119969E-2</v>
      </c>
    </row>
    <row r="437" spans="1:42" x14ac:dyDescent="0.2">
      <c r="A437" s="638">
        <v>42614</v>
      </c>
      <c r="B437" s="341" t="s">
        <v>136</v>
      </c>
      <c r="C437" s="351" t="s">
        <v>195</v>
      </c>
      <c r="D437" s="342">
        <v>86724.470001945301</v>
      </c>
      <c r="E437" s="342">
        <v>4114</v>
      </c>
      <c r="F437" s="342">
        <v>82610.470001945301</v>
      </c>
      <c r="G437" s="342">
        <v>52120.029900938302</v>
      </c>
      <c r="H437" s="342">
        <v>30864.829907417301</v>
      </c>
      <c r="I437" s="342">
        <v>21255.199993521001</v>
      </c>
      <c r="J437" s="342">
        <v>1805.99000179768</v>
      </c>
      <c r="K437" s="343">
        <v>50314.039899140618</v>
      </c>
      <c r="L437" s="342">
        <v>30839.630079269398</v>
      </c>
      <c r="M437" s="342">
        <v>0</v>
      </c>
      <c r="N437" s="354">
        <v>484</v>
      </c>
      <c r="O437" s="343">
        <v>179.18278926021756</v>
      </c>
      <c r="P437" s="343">
        <v>115.46454529478493</v>
      </c>
      <c r="Q437" s="343">
        <v>107.68601219202128</v>
      </c>
      <c r="R437" s="344">
        <v>0.60098412708396154</v>
      </c>
      <c r="S437" s="344">
        <v>0.96377844531076684</v>
      </c>
      <c r="T437" s="343">
        <v>77097.070000000007</v>
      </c>
      <c r="U437" s="342">
        <v>61823.46</v>
      </c>
      <c r="V437" s="342">
        <v>1629.32</v>
      </c>
      <c r="W437" s="344">
        <f t="shared" si="62"/>
        <v>2.6354396858409412E-2</v>
      </c>
      <c r="X437" s="342">
        <v>2100.8000000000002</v>
      </c>
      <c r="Y437" s="344">
        <f t="shared" si="63"/>
        <v>3.3980628065786035E-2</v>
      </c>
      <c r="Z437" s="342">
        <v>797.02</v>
      </c>
      <c r="AA437" s="344">
        <f t="shared" si="56"/>
        <v>1.2891869850053686E-2</v>
      </c>
      <c r="AB437" s="342">
        <v>247.15</v>
      </c>
      <c r="AC437" s="344">
        <f t="shared" si="64"/>
        <v>3.9976733751232946E-3</v>
      </c>
      <c r="AD437" s="342">
        <v>15273.61</v>
      </c>
      <c r="AE437" s="342">
        <v>2370.7600000000002</v>
      </c>
      <c r="AF437" s="344">
        <f t="shared" si="57"/>
        <v>0.15521936202377828</v>
      </c>
      <c r="AG437" s="342">
        <v>1795.99</v>
      </c>
      <c r="AH437" s="344">
        <f t="shared" si="58"/>
        <v>0.11758778703921338</v>
      </c>
      <c r="AI437" s="342">
        <v>1161.26</v>
      </c>
      <c r="AJ437" s="344">
        <f t="shared" si="59"/>
        <v>7.6030486571282099E-2</v>
      </c>
      <c r="AK437" s="342">
        <v>4360.95</v>
      </c>
      <c r="AL437" s="784">
        <f t="shared" si="60"/>
        <v>0.2855218903716934</v>
      </c>
      <c r="AM437" s="350">
        <v>28.820815025303297</v>
      </c>
      <c r="AN437" s="350">
        <v>24.243824374219727</v>
      </c>
      <c r="AO437" s="350">
        <v>122.21060633001422</v>
      </c>
      <c r="AP437" s="639">
        <f t="shared" si="61"/>
        <v>3.2316277621918695E-2</v>
      </c>
    </row>
    <row r="438" spans="1:42" x14ac:dyDescent="0.2">
      <c r="A438" s="638">
        <v>42614</v>
      </c>
      <c r="B438" s="341" t="s">
        <v>136</v>
      </c>
      <c r="C438" s="351" t="s">
        <v>196</v>
      </c>
      <c r="D438" s="342">
        <v>95312.700002670303</v>
      </c>
      <c r="E438" s="342">
        <v>4425</v>
      </c>
      <c r="F438" s="342">
        <v>90887.700002670303</v>
      </c>
      <c r="G438" s="342">
        <v>57517.529924154303</v>
      </c>
      <c r="H438" s="342">
        <v>29392.559941768599</v>
      </c>
      <c r="I438" s="342">
        <v>28124.969982385599</v>
      </c>
      <c r="J438" s="342">
        <v>3682.73002355173</v>
      </c>
      <c r="K438" s="343">
        <v>53834.799900602462</v>
      </c>
      <c r="L438" s="342">
        <v>33091.3201522827</v>
      </c>
      <c r="M438" s="342">
        <v>198.339998245239</v>
      </c>
      <c r="N438" s="354">
        <v>505</v>
      </c>
      <c r="O438" s="343">
        <v>188.73801980726793</v>
      </c>
      <c r="P438" s="343">
        <v>122.81790069731161</v>
      </c>
      <c r="Q438" s="343">
        <v>113.89609885971127</v>
      </c>
      <c r="R438" s="344">
        <v>0.60346134274386065</v>
      </c>
      <c r="S438" s="344">
        <v>0.98589688832894717</v>
      </c>
      <c r="T438" s="343">
        <v>74472.070000000007</v>
      </c>
      <c r="U438" s="342">
        <v>60540.520000000011</v>
      </c>
      <c r="V438" s="342">
        <v>1975.19</v>
      </c>
      <c r="W438" s="344">
        <f t="shared" si="62"/>
        <v>3.2625917319507654E-2</v>
      </c>
      <c r="X438" s="342">
        <v>503.4</v>
      </c>
      <c r="Y438" s="344">
        <f t="shared" si="63"/>
        <v>8.3150921069062491E-3</v>
      </c>
      <c r="Z438" s="342">
        <v>860.57</v>
      </c>
      <c r="AA438" s="344">
        <f t="shared" si="56"/>
        <v>1.4214777144299386E-2</v>
      </c>
      <c r="AB438" s="342">
        <v>605.4</v>
      </c>
      <c r="AC438" s="344">
        <f t="shared" si="64"/>
        <v>9.9999141071137124E-3</v>
      </c>
      <c r="AD438" s="342">
        <v>13931.55</v>
      </c>
      <c r="AE438" s="342">
        <v>1638.25</v>
      </c>
      <c r="AF438" s="344">
        <f t="shared" si="57"/>
        <v>0.11759280194953182</v>
      </c>
      <c r="AG438" s="342">
        <v>1935.72</v>
      </c>
      <c r="AH438" s="344">
        <f t="shared" si="58"/>
        <v>0.13894505636486967</v>
      </c>
      <c r="AI438" s="342">
        <v>2395.04</v>
      </c>
      <c r="AJ438" s="344">
        <f t="shared" si="59"/>
        <v>0.17191482641917089</v>
      </c>
      <c r="AK438" s="342">
        <v>1770.86</v>
      </c>
      <c r="AL438" s="784">
        <f t="shared" si="60"/>
        <v>0.1271114843646256</v>
      </c>
      <c r="AM438" s="350">
        <v>23.670859703999501</v>
      </c>
      <c r="AN438" s="350">
        <v>20.470591894341446</v>
      </c>
      <c r="AO438" s="350">
        <v>73.824746820536973</v>
      </c>
      <c r="AP438" s="639">
        <f t="shared" si="61"/>
        <v>5.9376806301836289E-2</v>
      </c>
    </row>
    <row r="439" spans="1:42" x14ac:dyDescent="0.2">
      <c r="A439" s="638">
        <v>42614</v>
      </c>
      <c r="B439" s="341" t="s">
        <v>136</v>
      </c>
      <c r="C439" s="351" t="s">
        <v>290</v>
      </c>
      <c r="D439" s="342">
        <v>81294.080006599397</v>
      </c>
      <c r="E439" s="342">
        <v>3771</v>
      </c>
      <c r="F439" s="342">
        <v>77523.080006599397</v>
      </c>
      <c r="G439" s="342">
        <v>46537.949941635103</v>
      </c>
      <c r="H439" s="342">
        <v>25222.8099479675</v>
      </c>
      <c r="I439" s="342">
        <v>21315.139993667599</v>
      </c>
      <c r="J439" s="342">
        <v>1539.5200076103199</v>
      </c>
      <c r="K439" s="343">
        <v>44998.429934024782</v>
      </c>
      <c r="L439" s="342">
        <v>30510.180149078398</v>
      </c>
      <c r="M439" s="342">
        <v>85.620000839233001</v>
      </c>
      <c r="N439" s="354">
        <v>416</v>
      </c>
      <c r="O439" s="343">
        <v>195.41846155432546</v>
      </c>
      <c r="P439" s="343">
        <v>121.8708650401004</v>
      </c>
      <c r="Q439" s="343">
        <v>111.87007197508439</v>
      </c>
      <c r="R439" s="344">
        <v>0.57246419343028654</v>
      </c>
      <c r="S439" s="344">
        <v>0.94668681806695643</v>
      </c>
      <c r="T439" s="343">
        <v>58848.87</v>
      </c>
      <c r="U439" s="342">
        <v>51578.16</v>
      </c>
      <c r="V439" s="342">
        <v>1325.16</v>
      </c>
      <c r="W439" s="344">
        <f t="shared" si="62"/>
        <v>2.5692269751383143E-2</v>
      </c>
      <c r="X439" s="342">
        <v>189</v>
      </c>
      <c r="Y439" s="344">
        <f t="shared" si="63"/>
        <v>3.6643416515827628E-3</v>
      </c>
      <c r="Z439" s="342">
        <v>0</v>
      </c>
      <c r="AA439" s="344">
        <f t="shared" si="56"/>
        <v>0</v>
      </c>
      <c r="AB439" s="342">
        <v>0</v>
      </c>
      <c r="AC439" s="344">
        <f t="shared" si="64"/>
        <v>0</v>
      </c>
      <c r="AD439" s="342">
        <v>7270.71</v>
      </c>
      <c r="AE439" s="342">
        <v>1585.67</v>
      </c>
      <c r="AF439" s="344">
        <f t="shared" si="57"/>
        <v>0.21809011774640991</v>
      </c>
      <c r="AG439" s="342">
        <v>-27.61</v>
      </c>
      <c r="AH439" s="344">
        <v>0</v>
      </c>
      <c r="AI439" s="342">
        <v>0</v>
      </c>
      <c r="AJ439" s="344">
        <f t="shared" si="59"/>
        <v>0</v>
      </c>
      <c r="AK439" s="342">
        <v>0</v>
      </c>
      <c r="AL439" s="784">
        <f t="shared" si="60"/>
        <v>0</v>
      </c>
      <c r="AM439" s="350">
        <v>25.361639793090781</v>
      </c>
      <c r="AN439" s="350">
        <v>23.783227680902733</v>
      </c>
      <c r="AO439" s="350">
        <v>47.92470338362385</v>
      </c>
      <c r="AP439" s="639">
        <f t="shared" si="61"/>
        <v>3.0366316410780934E-2</v>
      </c>
    </row>
    <row r="440" spans="1:42" x14ac:dyDescent="0.2">
      <c r="A440" s="638">
        <v>42614</v>
      </c>
      <c r="B440" s="341" t="s">
        <v>137</v>
      </c>
      <c r="C440" s="351" t="s">
        <v>209</v>
      </c>
      <c r="D440" s="342">
        <v>72022.750002860994</v>
      </c>
      <c r="E440" s="342">
        <v>4569</v>
      </c>
      <c r="F440" s="342">
        <v>67453.750002860994</v>
      </c>
      <c r="G440" s="342">
        <v>43838.679952502302</v>
      </c>
      <c r="H440" s="342">
        <v>24742.289960861199</v>
      </c>
      <c r="I440" s="342">
        <v>19096.389991641001</v>
      </c>
      <c r="J440" s="342">
        <v>2607.5199980735802</v>
      </c>
      <c r="K440" s="343">
        <v>41231.159954428622</v>
      </c>
      <c r="L440" s="342">
        <v>24571.8601074219</v>
      </c>
      <c r="M440" s="342">
        <v>43</v>
      </c>
      <c r="N440" s="354">
        <v>310</v>
      </c>
      <c r="O440" s="343">
        <v>232.33145162213225</v>
      </c>
      <c r="P440" s="343">
        <v>152.92867708206157</v>
      </c>
      <c r="Q440" s="343">
        <v>141.41509662097485</v>
      </c>
      <c r="R440" s="344">
        <v>0.60867822945889705</v>
      </c>
      <c r="S440" s="344">
        <v>0.97853388382581497</v>
      </c>
      <c r="T440" s="343">
        <v>57793.91</v>
      </c>
      <c r="U440" s="342">
        <v>46477.08</v>
      </c>
      <c r="V440" s="342">
        <v>1700.56</v>
      </c>
      <c r="W440" s="344">
        <f t="shared" si="62"/>
        <v>3.6589217739152288E-2</v>
      </c>
      <c r="X440" s="342">
        <v>1050.22</v>
      </c>
      <c r="Y440" s="344">
        <f t="shared" si="63"/>
        <v>2.259651423884633E-2</v>
      </c>
      <c r="Z440" s="342">
        <v>914.25</v>
      </c>
      <c r="AA440" s="344">
        <f t="shared" si="56"/>
        <v>1.9670986215140882E-2</v>
      </c>
      <c r="AB440" s="342">
        <v>415</v>
      </c>
      <c r="AC440" s="344">
        <f t="shared" si="64"/>
        <v>8.929132380949922E-3</v>
      </c>
      <c r="AD440" s="342">
        <v>11316.83</v>
      </c>
      <c r="AE440" s="342">
        <v>1472.72</v>
      </c>
      <c r="AF440" s="344">
        <f t="shared" si="57"/>
        <v>0.13013538243483377</v>
      </c>
      <c r="AG440" s="342">
        <v>946.11</v>
      </c>
      <c r="AH440" s="344">
        <f t="shared" si="58"/>
        <v>8.3602033431623521E-2</v>
      </c>
      <c r="AI440" s="342">
        <v>1816.44</v>
      </c>
      <c r="AJ440" s="344">
        <f t="shared" si="59"/>
        <v>0.16050784539486765</v>
      </c>
      <c r="AK440" s="342">
        <v>3202.61</v>
      </c>
      <c r="AL440" s="784">
        <f t="shared" si="60"/>
        <v>0.28299532642975112</v>
      </c>
      <c r="AM440" s="350">
        <v>25.682028707848836</v>
      </c>
      <c r="AN440" s="350">
        <v>22.234793481536464</v>
      </c>
      <c r="AO440" s="350">
        <v>70.695821475671551</v>
      </c>
      <c r="AP440" s="639">
        <f t="shared" si="61"/>
        <v>5.500181517938512E-2</v>
      </c>
    </row>
    <row r="441" spans="1:42" x14ac:dyDescent="0.2">
      <c r="A441" s="638">
        <v>42614</v>
      </c>
      <c r="B441" s="341" t="s">
        <v>137</v>
      </c>
      <c r="C441" s="351" t="s">
        <v>197</v>
      </c>
      <c r="D441" s="342">
        <v>174504.54000570299</v>
      </c>
      <c r="E441" s="342">
        <v>9956</v>
      </c>
      <c r="F441" s="342">
        <v>164548.54000570299</v>
      </c>
      <c r="G441" s="342">
        <v>110721.18985265501</v>
      </c>
      <c r="H441" s="342">
        <v>61115.329848349102</v>
      </c>
      <c r="I441" s="342">
        <v>49605.860004305803</v>
      </c>
      <c r="J441" s="342">
        <v>6493.4800007343301</v>
      </c>
      <c r="K441" s="343">
        <v>104227.70985192058</v>
      </c>
      <c r="L441" s="342">
        <v>56590.210131764397</v>
      </c>
      <c r="M441" s="342">
        <v>581.32999992370605</v>
      </c>
      <c r="N441" s="354">
        <v>844</v>
      </c>
      <c r="O441" s="343">
        <v>206.7589336560462</v>
      </c>
      <c r="P441" s="343">
        <v>139.02014203082334</v>
      </c>
      <c r="Q441" s="343">
        <v>131.1862439012499</v>
      </c>
      <c r="R441" s="344">
        <v>0.63448887833540846</v>
      </c>
      <c r="S441" s="344">
        <v>0.99893242030675578</v>
      </c>
      <c r="T441" s="343">
        <v>162281.62</v>
      </c>
      <c r="U441" s="342">
        <v>131672.56</v>
      </c>
      <c r="V441" s="342">
        <v>5807.32</v>
      </c>
      <c r="W441" s="344">
        <f t="shared" si="62"/>
        <v>4.4104253764034054E-2</v>
      </c>
      <c r="X441" s="342">
        <v>4204.24</v>
      </c>
      <c r="Y441" s="344">
        <f t="shared" si="63"/>
        <v>3.1929507560269202E-2</v>
      </c>
      <c r="Z441" s="342">
        <v>3399.25</v>
      </c>
      <c r="AA441" s="344">
        <f t="shared" si="56"/>
        <v>2.5815933099500761E-2</v>
      </c>
      <c r="AB441" s="342">
        <v>11719.26</v>
      </c>
      <c r="AC441" s="344">
        <f t="shared" si="64"/>
        <v>8.9003054243040461E-2</v>
      </c>
      <c r="AD441" s="342">
        <v>30609.059999999998</v>
      </c>
      <c r="AE441" s="342">
        <v>4513.4399999999996</v>
      </c>
      <c r="AF441" s="344">
        <f t="shared" si="57"/>
        <v>0.14745438115381523</v>
      </c>
      <c r="AG441" s="342">
        <v>2599.9899999999998</v>
      </c>
      <c r="AH441" s="344">
        <f t="shared" si="58"/>
        <v>8.4941844016118109E-2</v>
      </c>
      <c r="AI441" s="342">
        <v>2963.74</v>
      </c>
      <c r="AJ441" s="344">
        <f t="shared" si="59"/>
        <v>9.6825580400051486E-2</v>
      </c>
      <c r="AK441" s="342">
        <v>12520.21</v>
      </c>
      <c r="AL441" s="784">
        <f t="shared" si="60"/>
        <v>0.40903608278071918</v>
      </c>
      <c r="AM441" s="350">
        <v>30.617221014005622</v>
      </c>
      <c r="AN441" s="350">
        <v>26.265263922634801</v>
      </c>
      <c r="AO441" s="350">
        <v>106.59400247639682</v>
      </c>
      <c r="AP441" s="639">
        <f t="shared" si="61"/>
        <v>5.5342316379080381E-2</v>
      </c>
    </row>
    <row r="442" spans="1:42" x14ac:dyDescent="0.2">
      <c r="A442" s="638">
        <v>42614</v>
      </c>
      <c r="B442" s="341" t="s">
        <v>137</v>
      </c>
      <c r="C442" s="351" t="s">
        <v>198</v>
      </c>
      <c r="D442" s="342">
        <v>0</v>
      </c>
      <c r="E442" s="342">
        <v>0</v>
      </c>
      <c r="F442" s="342">
        <v>0</v>
      </c>
      <c r="G442" s="342">
        <v>0</v>
      </c>
      <c r="H442" s="342">
        <v>0</v>
      </c>
      <c r="I442" s="342">
        <v>0</v>
      </c>
      <c r="J442" s="342">
        <v>0</v>
      </c>
      <c r="K442" s="343">
        <v>0</v>
      </c>
      <c r="L442" s="342">
        <v>0</v>
      </c>
      <c r="M442" s="342">
        <v>0</v>
      </c>
      <c r="N442" s="354">
        <v>0</v>
      </c>
      <c r="O442" s="343" t="s">
        <v>311</v>
      </c>
      <c r="P442" s="343" t="s">
        <v>311</v>
      </c>
      <c r="Q442" s="343" t="s">
        <v>311</v>
      </c>
      <c r="R442" s="344" t="s">
        <v>312</v>
      </c>
      <c r="S442" s="344" t="s">
        <v>312</v>
      </c>
      <c r="T442" s="343">
        <v>0</v>
      </c>
      <c r="U442" s="342">
        <v>0</v>
      </c>
      <c r="V442" s="342">
        <v>0</v>
      </c>
      <c r="W442" s="344" t="str">
        <f t="shared" si="62"/>
        <v>0.00%</v>
      </c>
      <c r="X442" s="342">
        <v>0</v>
      </c>
      <c r="Y442" s="344" t="str">
        <f t="shared" si="63"/>
        <v>0.00%</v>
      </c>
      <c r="Z442" s="342">
        <v>0</v>
      </c>
      <c r="AA442" s="344">
        <f t="shared" si="56"/>
        <v>0</v>
      </c>
      <c r="AB442" s="342">
        <v>0</v>
      </c>
      <c r="AC442" s="344" t="str">
        <f t="shared" si="64"/>
        <v>0.00%</v>
      </c>
      <c r="AD442" s="342">
        <v>0</v>
      </c>
      <c r="AE442" s="342">
        <v>0</v>
      </c>
      <c r="AF442" s="344" t="str">
        <f t="shared" si="57"/>
        <v>0.00%</v>
      </c>
      <c r="AG442" s="342">
        <v>0</v>
      </c>
      <c r="AH442" s="344" t="str">
        <f t="shared" si="58"/>
        <v>0.00%</v>
      </c>
      <c r="AI442" s="342">
        <v>0</v>
      </c>
      <c r="AJ442" s="344">
        <f t="shared" si="59"/>
        <v>0</v>
      </c>
      <c r="AK442" s="342">
        <v>0</v>
      </c>
      <c r="AL442" s="784" t="str">
        <f t="shared" si="60"/>
        <v>0.00%</v>
      </c>
      <c r="AM442" s="350">
        <v>0</v>
      </c>
      <c r="AN442" s="350">
        <v>0</v>
      </c>
      <c r="AO442" s="350">
        <v>0</v>
      </c>
      <c r="AP442" s="639" t="str">
        <f t="shared" si="61"/>
        <v>0.00%</v>
      </c>
    </row>
    <row r="443" spans="1:42" x14ac:dyDescent="0.2">
      <c r="A443" s="638">
        <v>42614</v>
      </c>
      <c r="B443" s="341" t="s">
        <v>137</v>
      </c>
      <c r="C443" s="351" t="s">
        <v>199</v>
      </c>
      <c r="D443" s="342">
        <v>204209.24000657699</v>
      </c>
      <c r="E443" s="342">
        <v>9156</v>
      </c>
      <c r="F443" s="342">
        <v>195053.24000657699</v>
      </c>
      <c r="G443" s="342">
        <v>138307.70999163401</v>
      </c>
      <c r="H443" s="342">
        <v>79162.629873394995</v>
      </c>
      <c r="I443" s="342">
        <v>59145.080118238897</v>
      </c>
      <c r="J443" s="342">
        <v>7728.8200109377503</v>
      </c>
      <c r="K443" s="343">
        <v>130578.88998069614</v>
      </c>
      <c r="L443" s="342">
        <v>65565.610157052099</v>
      </c>
      <c r="M443" s="342">
        <v>6538.2499930858603</v>
      </c>
      <c r="N443" s="354">
        <v>1029</v>
      </c>
      <c r="O443" s="343">
        <v>198.45407192087171</v>
      </c>
      <c r="P443" s="343">
        <v>128.38229334930907</v>
      </c>
      <c r="Q443" s="343">
        <v>134.40982506475598</v>
      </c>
      <c r="R443" s="344">
        <v>0.67728428932588658</v>
      </c>
      <c r="S443" s="344">
        <v>1.1120078426629398</v>
      </c>
      <c r="T443" s="343">
        <v>201091.59</v>
      </c>
      <c r="U443" s="342">
        <v>157301.68</v>
      </c>
      <c r="V443" s="342">
        <v>2760.71</v>
      </c>
      <c r="W443" s="344">
        <f t="shared" si="62"/>
        <v>1.7550416499048198E-2</v>
      </c>
      <c r="X443" s="342">
        <v>3962.06</v>
      </c>
      <c r="Y443" s="344">
        <f t="shared" si="63"/>
        <v>2.5187652159849788E-2</v>
      </c>
      <c r="Z443" s="342">
        <v>1771.78</v>
      </c>
      <c r="AA443" s="344">
        <f t="shared" si="56"/>
        <v>1.1263579638818862E-2</v>
      </c>
      <c r="AB443" s="342">
        <v>9325.07</v>
      </c>
      <c r="AC443" s="344">
        <f t="shared" si="64"/>
        <v>5.9281439333642209E-2</v>
      </c>
      <c r="AD443" s="342">
        <v>43789.91</v>
      </c>
      <c r="AE443" s="342">
        <v>4216.01</v>
      </c>
      <c r="AF443" s="344">
        <f t="shared" si="57"/>
        <v>9.6278115209645326E-2</v>
      </c>
      <c r="AG443" s="342">
        <v>3693.03</v>
      </c>
      <c r="AH443" s="344">
        <f t="shared" si="58"/>
        <v>8.433518132373416E-2</v>
      </c>
      <c r="AI443" s="342">
        <v>2966.56</v>
      </c>
      <c r="AJ443" s="344">
        <f t="shared" si="59"/>
        <v>6.7745286528334947E-2</v>
      </c>
      <c r="AK443" s="342">
        <v>23599.5</v>
      </c>
      <c r="AL443" s="784">
        <f t="shared" si="60"/>
        <v>0.53892551960029145</v>
      </c>
      <c r="AM443" s="350">
        <v>30.588006899429427</v>
      </c>
      <c r="AN443" s="350">
        <v>25.719991187604339</v>
      </c>
      <c r="AO443" s="350">
        <v>95.5555208030259</v>
      </c>
      <c r="AP443" s="639">
        <f t="shared" si="61"/>
        <v>5.8504960353142163E-2</v>
      </c>
    </row>
    <row r="444" spans="1:42" x14ac:dyDescent="0.2">
      <c r="A444" s="638">
        <v>42614</v>
      </c>
      <c r="B444" s="341" t="s">
        <v>137</v>
      </c>
      <c r="C444" s="351" t="s">
        <v>200</v>
      </c>
      <c r="D444" s="342">
        <v>0</v>
      </c>
      <c r="E444" s="342">
        <v>0</v>
      </c>
      <c r="F444" s="342">
        <v>0</v>
      </c>
      <c r="G444" s="342">
        <v>0</v>
      </c>
      <c r="H444" s="342">
        <v>0</v>
      </c>
      <c r="I444" s="342">
        <v>0</v>
      </c>
      <c r="J444" s="342">
        <v>0</v>
      </c>
      <c r="K444" s="343">
        <v>0</v>
      </c>
      <c r="L444" s="342">
        <v>0</v>
      </c>
      <c r="M444" s="342">
        <v>0</v>
      </c>
      <c r="N444" s="354">
        <v>0</v>
      </c>
      <c r="O444" s="343" t="s">
        <v>311</v>
      </c>
      <c r="P444" s="343" t="s">
        <v>311</v>
      </c>
      <c r="Q444" s="343" t="s">
        <v>311</v>
      </c>
      <c r="R444" s="344" t="s">
        <v>312</v>
      </c>
      <c r="S444" s="344" t="s">
        <v>312</v>
      </c>
      <c r="T444" s="343">
        <v>-75</v>
      </c>
      <c r="U444" s="342">
        <v>-25</v>
      </c>
      <c r="V444" s="342">
        <v>0</v>
      </c>
      <c r="W444" s="344">
        <v>0</v>
      </c>
      <c r="X444" s="342">
        <v>0</v>
      </c>
      <c r="Y444" s="344">
        <f t="shared" si="63"/>
        <v>0</v>
      </c>
      <c r="Z444" s="342">
        <v>0</v>
      </c>
      <c r="AA444" s="344">
        <f t="shared" si="56"/>
        <v>0</v>
      </c>
      <c r="AB444" s="342">
        <v>-25</v>
      </c>
      <c r="AC444" s="344">
        <v>0</v>
      </c>
      <c r="AD444" s="342">
        <v>-50</v>
      </c>
      <c r="AE444" s="342">
        <v>0</v>
      </c>
      <c r="AF444" s="344">
        <f t="shared" si="57"/>
        <v>0</v>
      </c>
      <c r="AG444" s="342">
        <v>0</v>
      </c>
      <c r="AH444" s="344">
        <f t="shared" si="58"/>
        <v>0</v>
      </c>
      <c r="AI444" s="342">
        <v>0</v>
      </c>
      <c r="AJ444" s="344">
        <f t="shared" si="59"/>
        <v>0</v>
      </c>
      <c r="AK444" s="342">
        <v>-50</v>
      </c>
      <c r="AL444" s="784">
        <f t="shared" si="60"/>
        <v>1</v>
      </c>
      <c r="AM444" s="350">
        <v>0</v>
      </c>
      <c r="AN444" s="350">
        <v>0</v>
      </c>
      <c r="AO444" s="350">
        <v>0</v>
      </c>
      <c r="AP444" s="639" t="str">
        <f t="shared" si="61"/>
        <v>0.00%</v>
      </c>
    </row>
    <row r="445" spans="1:42" x14ac:dyDescent="0.2">
      <c r="A445" s="638">
        <v>42614</v>
      </c>
      <c r="B445" s="341" t="s">
        <v>137</v>
      </c>
      <c r="C445" s="351" t="s">
        <v>201</v>
      </c>
      <c r="D445" s="342">
        <v>208168.91001334801</v>
      </c>
      <c r="E445" s="342">
        <v>8145</v>
      </c>
      <c r="F445" s="342">
        <v>200023.91001334801</v>
      </c>
      <c r="G445" s="342">
        <v>151699.06999628601</v>
      </c>
      <c r="H445" s="342">
        <v>102425.189907223</v>
      </c>
      <c r="I445" s="342">
        <v>49273.880089063197</v>
      </c>
      <c r="J445" s="342">
        <v>7108.9400416612598</v>
      </c>
      <c r="K445" s="343">
        <v>144590.12995462492</v>
      </c>
      <c r="L445" s="342">
        <v>85288.640240073204</v>
      </c>
      <c r="M445" s="342">
        <v>12040.7799932417</v>
      </c>
      <c r="N445" s="354">
        <v>1008</v>
      </c>
      <c r="O445" s="343">
        <v>206.51677580689287</v>
      </c>
      <c r="P445" s="343">
        <v>109.95981128971539</v>
      </c>
      <c r="Q445" s="343">
        <v>150.49510912329978</v>
      </c>
      <c r="R445" s="344">
        <v>0.72873067350239318</v>
      </c>
      <c r="S445" s="344">
        <v>1.4624338767981087</v>
      </c>
      <c r="T445" s="343">
        <v>256426.15999999997</v>
      </c>
      <c r="U445" s="342">
        <v>188807.19999999998</v>
      </c>
      <c r="V445" s="342">
        <v>8732.25</v>
      </c>
      <c r="W445" s="344">
        <f t="shared" si="62"/>
        <v>4.6249560398120414E-2</v>
      </c>
      <c r="X445" s="342">
        <v>5029.46</v>
      </c>
      <c r="Y445" s="344">
        <f t="shared" si="63"/>
        <v>2.6638073124330006E-2</v>
      </c>
      <c r="Z445" s="342">
        <v>2060.59</v>
      </c>
      <c r="AA445" s="344">
        <f t="shared" si="56"/>
        <v>1.091372574774691E-2</v>
      </c>
      <c r="AB445" s="342">
        <v>20093.91</v>
      </c>
      <c r="AC445" s="344">
        <f t="shared" si="64"/>
        <v>0.10642554944938541</v>
      </c>
      <c r="AD445" s="342">
        <v>67618.960000000006</v>
      </c>
      <c r="AE445" s="342">
        <v>5191.3100000000004</v>
      </c>
      <c r="AF445" s="344">
        <f t="shared" si="57"/>
        <v>7.6772993846696252E-2</v>
      </c>
      <c r="AG445" s="342">
        <v>5950.22</v>
      </c>
      <c r="AH445" s="344">
        <f t="shared" si="58"/>
        <v>8.7996325291013047E-2</v>
      </c>
      <c r="AI445" s="342">
        <v>6620.55</v>
      </c>
      <c r="AJ445" s="344">
        <f t="shared" si="59"/>
        <v>9.7909669122388146E-2</v>
      </c>
      <c r="AK445" s="342">
        <v>37047.760000000002</v>
      </c>
      <c r="AL445" s="784">
        <f t="shared" si="60"/>
        <v>0.54789011839282942</v>
      </c>
      <c r="AM445" s="350">
        <v>34.573501035230407</v>
      </c>
      <c r="AN445" s="350">
        <v>26.814638099691336</v>
      </c>
      <c r="AO445" s="350">
        <v>180.00899792642051</v>
      </c>
      <c r="AP445" s="639">
        <f t="shared" si="61"/>
        <v>6.4137249781367006E-2</v>
      </c>
    </row>
    <row r="446" spans="1:42" x14ac:dyDescent="0.2">
      <c r="A446" s="638">
        <v>42614</v>
      </c>
      <c r="B446" s="341" t="s">
        <v>137</v>
      </c>
      <c r="C446" s="351" t="s">
        <v>202</v>
      </c>
      <c r="D446" s="342">
        <v>0</v>
      </c>
      <c r="E446" s="342">
        <v>0</v>
      </c>
      <c r="F446" s="342">
        <v>0</v>
      </c>
      <c r="G446" s="342">
        <v>0</v>
      </c>
      <c r="H446" s="342">
        <v>0</v>
      </c>
      <c r="I446" s="342">
        <v>0</v>
      </c>
      <c r="J446" s="342">
        <v>0</v>
      </c>
      <c r="K446" s="343">
        <v>0</v>
      </c>
      <c r="L446" s="342">
        <v>0</v>
      </c>
      <c r="M446" s="342">
        <v>0</v>
      </c>
      <c r="N446" s="354">
        <v>0</v>
      </c>
      <c r="O446" s="343" t="s">
        <v>311</v>
      </c>
      <c r="P446" s="343" t="s">
        <v>311</v>
      </c>
      <c r="Q446" s="343" t="s">
        <v>311</v>
      </c>
      <c r="R446" s="344" t="s">
        <v>312</v>
      </c>
      <c r="S446" s="344" t="s">
        <v>312</v>
      </c>
      <c r="T446" s="343">
        <v>0</v>
      </c>
      <c r="U446" s="342">
        <v>0</v>
      </c>
      <c r="V446" s="342">
        <v>0</v>
      </c>
      <c r="W446" s="344" t="str">
        <f t="shared" si="62"/>
        <v>0.00%</v>
      </c>
      <c r="X446" s="342">
        <v>0</v>
      </c>
      <c r="Y446" s="344" t="str">
        <f t="shared" si="63"/>
        <v>0.00%</v>
      </c>
      <c r="Z446" s="342">
        <v>0</v>
      </c>
      <c r="AA446" s="344">
        <f t="shared" si="56"/>
        <v>0</v>
      </c>
      <c r="AB446" s="342">
        <v>0</v>
      </c>
      <c r="AC446" s="344" t="str">
        <f t="shared" si="64"/>
        <v>0.00%</v>
      </c>
      <c r="AD446" s="342">
        <v>0</v>
      </c>
      <c r="AE446" s="342">
        <v>0</v>
      </c>
      <c r="AF446" s="344" t="str">
        <f t="shared" si="57"/>
        <v>0.00%</v>
      </c>
      <c r="AG446" s="342">
        <v>0</v>
      </c>
      <c r="AH446" s="344" t="str">
        <f t="shared" si="58"/>
        <v>0.00%</v>
      </c>
      <c r="AI446" s="342">
        <v>0</v>
      </c>
      <c r="AJ446" s="344">
        <f t="shared" si="59"/>
        <v>0</v>
      </c>
      <c r="AK446" s="342">
        <v>0</v>
      </c>
      <c r="AL446" s="784" t="str">
        <f t="shared" si="60"/>
        <v>0.00%</v>
      </c>
      <c r="AM446" s="350">
        <v>0</v>
      </c>
      <c r="AN446" s="350">
        <v>0</v>
      </c>
      <c r="AO446" s="350">
        <v>0</v>
      </c>
      <c r="AP446" s="639" t="str">
        <f t="shared" si="61"/>
        <v>0.00%</v>
      </c>
    </row>
    <row r="447" spans="1:42" x14ac:dyDescent="0.2">
      <c r="A447" s="638">
        <v>42614</v>
      </c>
      <c r="B447" s="341" t="s">
        <v>137</v>
      </c>
      <c r="C447" s="351" t="s">
        <v>203</v>
      </c>
      <c r="D447" s="342">
        <v>136857.54000307099</v>
      </c>
      <c r="E447" s="342">
        <v>6836</v>
      </c>
      <c r="F447" s="342">
        <v>130021.540003071</v>
      </c>
      <c r="G447" s="342">
        <v>102870.590030313</v>
      </c>
      <c r="H447" s="342">
        <v>61376.1800278425</v>
      </c>
      <c r="I447" s="342">
        <v>41494.410002470002</v>
      </c>
      <c r="J447" s="342">
        <v>6379.8300206661197</v>
      </c>
      <c r="K447" s="343">
        <v>96490.760009646387</v>
      </c>
      <c r="L447" s="342">
        <v>54171.270026970698</v>
      </c>
      <c r="M447" s="342">
        <v>4358.7800072114896</v>
      </c>
      <c r="N447" s="354">
        <v>797</v>
      </c>
      <c r="O447" s="343">
        <v>171.71585947687706</v>
      </c>
      <c r="P447" s="343">
        <v>98.277904603373685</v>
      </c>
      <c r="Q447" s="343">
        <v>129.07225850729299</v>
      </c>
      <c r="R447" s="344">
        <v>0.75166183776212947</v>
      </c>
      <c r="S447" s="344">
        <v>1.4297975793006132</v>
      </c>
      <c r="T447" s="343">
        <v>140670.81</v>
      </c>
      <c r="U447" s="342">
        <v>105297.48</v>
      </c>
      <c r="V447" s="342">
        <v>3481.6</v>
      </c>
      <c r="W447" s="344">
        <f t="shared" si="62"/>
        <v>3.3064419015535793E-2</v>
      </c>
      <c r="X447" s="342">
        <v>1606.74</v>
      </c>
      <c r="Y447" s="344">
        <f t="shared" si="63"/>
        <v>1.525905463264648E-2</v>
      </c>
      <c r="Z447" s="342">
        <v>1294.04</v>
      </c>
      <c r="AA447" s="344">
        <f t="shared" si="56"/>
        <v>1.2289372927063402E-2</v>
      </c>
      <c r="AB447" s="342">
        <v>8146.34</v>
      </c>
      <c r="AC447" s="344">
        <f t="shared" si="64"/>
        <v>7.7365004366676204E-2</v>
      </c>
      <c r="AD447" s="342">
        <v>35373.33</v>
      </c>
      <c r="AE447" s="342">
        <v>3955.92</v>
      </c>
      <c r="AF447" s="344">
        <f t="shared" si="57"/>
        <v>0.11183340669368702</v>
      </c>
      <c r="AG447" s="342">
        <v>3935.77</v>
      </c>
      <c r="AH447" s="344">
        <f t="shared" si="58"/>
        <v>0.11126376849451267</v>
      </c>
      <c r="AI447" s="342">
        <v>3923.34</v>
      </c>
      <c r="AJ447" s="344">
        <f t="shared" si="59"/>
        <v>0.11091237381383093</v>
      </c>
      <c r="AK447" s="342">
        <v>16531.59</v>
      </c>
      <c r="AL447" s="784">
        <f t="shared" si="60"/>
        <v>0.46734616164211851</v>
      </c>
      <c r="AM447" s="350">
        <v>29.192234539804055</v>
      </c>
      <c r="AN447" s="350">
        <v>23.392465578735568</v>
      </c>
      <c r="AO447" s="350">
        <v>111.43546151422871</v>
      </c>
      <c r="AP447" s="639">
        <f t="shared" si="61"/>
        <v>8.14507144707452E-2</v>
      </c>
    </row>
    <row r="448" spans="1:42" x14ac:dyDescent="0.2">
      <c r="A448" s="638">
        <v>42614</v>
      </c>
      <c r="B448" s="341" t="s">
        <v>137</v>
      </c>
      <c r="C448" s="351" t="s">
        <v>204</v>
      </c>
      <c r="D448" s="342">
        <v>69957.020005473896</v>
      </c>
      <c r="E448" s="342">
        <v>4031</v>
      </c>
      <c r="F448" s="342">
        <v>65926.020005473896</v>
      </c>
      <c r="G448" s="342">
        <v>42781.380010008797</v>
      </c>
      <c r="H448" s="342">
        <v>22954.839988112399</v>
      </c>
      <c r="I448" s="342">
        <v>19826.540021896399</v>
      </c>
      <c r="J448" s="342">
        <v>1912.28000366688</v>
      </c>
      <c r="K448" s="343">
        <v>40869.10000634192</v>
      </c>
      <c r="L448" s="342">
        <v>21390.660063266801</v>
      </c>
      <c r="M448" s="342">
        <v>0</v>
      </c>
      <c r="N448" s="354">
        <v>420</v>
      </c>
      <c r="O448" s="343">
        <v>166.56433334636642</v>
      </c>
      <c r="P448" s="343">
        <v>115.63419033858833</v>
      </c>
      <c r="Q448" s="343">
        <v>101.86042859525904</v>
      </c>
      <c r="R448" s="344">
        <v>0.61153805589004939</v>
      </c>
      <c r="S448" s="344">
        <v>0.91699118418725378</v>
      </c>
      <c r="T448" s="343">
        <v>60249.930000000008</v>
      </c>
      <c r="U448" s="342">
        <v>46271.810000000005</v>
      </c>
      <c r="V448" s="342">
        <v>1099.01</v>
      </c>
      <c r="W448" s="344">
        <f t="shared" si="62"/>
        <v>2.3751178093098149E-2</v>
      </c>
      <c r="X448" s="342">
        <v>857.73</v>
      </c>
      <c r="Y448" s="344">
        <f t="shared" si="63"/>
        <v>1.853677217294936E-2</v>
      </c>
      <c r="Z448" s="342">
        <v>294</v>
      </c>
      <c r="AA448" s="344">
        <f t="shared" si="56"/>
        <v>6.3537605293590193E-3</v>
      </c>
      <c r="AB448" s="342">
        <v>755</v>
      </c>
      <c r="AC448" s="344">
        <f t="shared" si="64"/>
        <v>1.6316629930836938E-2</v>
      </c>
      <c r="AD448" s="342">
        <v>13978.119999999999</v>
      </c>
      <c r="AE448" s="342">
        <v>1652.66</v>
      </c>
      <c r="AF448" s="344">
        <f t="shared" si="57"/>
        <v>0.11823192246167584</v>
      </c>
      <c r="AG448" s="342">
        <v>790.56</v>
      </c>
      <c r="AH448" s="344">
        <f t="shared" si="58"/>
        <v>5.6556961880424549E-2</v>
      </c>
      <c r="AI448" s="342">
        <v>1623.9</v>
      </c>
      <c r="AJ448" s="344">
        <f t="shared" si="59"/>
        <v>0.11617442116679498</v>
      </c>
      <c r="AK448" s="342">
        <v>6623.99</v>
      </c>
      <c r="AL448" s="784">
        <f t="shared" si="60"/>
        <v>0.47388275390395851</v>
      </c>
      <c r="AM448" s="350">
        <v>28.694639256339364</v>
      </c>
      <c r="AN448" s="350">
        <v>23.467929261460455</v>
      </c>
      <c r="AO448" s="350">
        <v>109.21354284226061</v>
      </c>
      <c r="AP448" s="639">
        <f t="shared" si="61"/>
        <v>3.9374579563764944E-2</v>
      </c>
    </row>
    <row r="449" spans="1:42" x14ac:dyDescent="0.2">
      <c r="A449" s="638">
        <v>42614</v>
      </c>
      <c r="B449" s="341" t="s">
        <v>137</v>
      </c>
      <c r="C449" s="351" t="s">
        <v>205</v>
      </c>
      <c r="D449" s="342">
        <v>0</v>
      </c>
      <c r="E449" s="342">
        <v>0</v>
      </c>
      <c r="F449" s="342">
        <v>0</v>
      </c>
      <c r="G449" s="342">
        <v>0</v>
      </c>
      <c r="H449" s="342">
        <v>0</v>
      </c>
      <c r="I449" s="342">
        <v>0</v>
      </c>
      <c r="J449" s="342">
        <v>0</v>
      </c>
      <c r="K449" s="343">
        <v>0</v>
      </c>
      <c r="L449" s="342">
        <v>0</v>
      </c>
      <c r="M449" s="342">
        <v>-42.040000915527003</v>
      </c>
      <c r="N449" s="354">
        <v>0</v>
      </c>
      <c r="O449" s="343" t="s">
        <v>311</v>
      </c>
      <c r="P449" s="343" t="s">
        <v>311</v>
      </c>
      <c r="Q449" s="343" t="s">
        <v>311</v>
      </c>
      <c r="R449" s="344" t="s">
        <v>312</v>
      </c>
      <c r="S449" s="344">
        <v>0</v>
      </c>
      <c r="T449" s="343">
        <v>-8.66</v>
      </c>
      <c r="U449" s="342">
        <v>0</v>
      </c>
      <c r="V449" s="342">
        <v>0</v>
      </c>
      <c r="W449" s="344" t="str">
        <f t="shared" si="62"/>
        <v>0.00%</v>
      </c>
      <c r="X449" s="342">
        <v>0</v>
      </c>
      <c r="Y449" s="344" t="str">
        <f t="shared" si="63"/>
        <v>0.00%</v>
      </c>
      <c r="Z449" s="342">
        <v>0</v>
      </c>
      <c r="AA449" s="344">
        <f t="shared" si="56"/>
        <v>0</v>
      </c>
      <c r="AB449" s="342">
        <v>0</v>
      </c>
      <c r="AC449" s="344" t="str">
        <f t="shared" si="64"/>
        <v>0.00%</v>
      </c>
      <c r="AD449" s="342">
        <v>-8.66</v>
      </c>
      <c r="AE449" s="342">
        <v>0</v>
      </c>
      <c r="AF449" s="344">
        <f t="shared" si="57"/>
        <v>0</v>
      </c>
      <c r="AG449" s="342">
        <v>0</v>
      </c>
      <c r="AH449" s="344">
        <f t="shared" si="58"/>
        <v>0</v>
      </c>
      <c r="AI449" s="342">
        <v>0</v>
      </c>
      <c r="AJ449" s="344">
        <f t="shared" si="59"/>
        <v>0</v>
      </c>
      <c r="AK449" s="342">
        <v>-8.66</v>
      </c>
      <c r="AL449" s="784">
        <f t="shared" si="60"/>
        <v>1</v>
      </c>
      <c r="AM449" s="350">
        <v>0</v>
      </c>
      <c r="AN449" s="350">
        <v>0</v>
      </c>
      <c r="AO449" s="350">
        <v>0</v>
      </c>
      <c r="AP449" s="639">
        <f t="shared" si="61"/>
        <v>0</v>
      </c>
    </row>
    <row r="450" spans="1:42" x14ac:dyDescent="0.2">
      <c r="A450" s="638">
        <v>42614</v>
      </c>
      <c r="B450" s="341" t="s">
        <v>137</v>
      </c>
      <c r="C450" s="351" t="s">
        <v>206</v>
      </c>
      <c r="D450" s="342">
        <v>157225.39001933701</v>
      </c>
      <c r="E450" s="342">
        <v>10360</v>
      </c>
      <c r="F450" s="342">
        <v>146865.39001933701</v>
      </c>
      <c r="G450" s="342">
        <v>107403.41999138299</v>
      </c>
      <c r="H450" s="342">
        <v>61479.439972171604</v>
      </c>
      <c r="I450" s="342">
        <v>45923.980019211798</v>
      </c>
      <c r="J450" s="342">
        <v>5500.5800031423596</v>
      </c>
      <c r="K450" s="343">
        <v>101902.83998824104</v>
      </c>
      <c r="L450" s="342">
        <v>55794.020074902102</v>
      </c>
      <c r="M450" s="342">
        <v>10769.390006780601</v>
      </c>
      <c r="N450" s="354">
        <v>804</v>
      </c>
      <c r="O450" s="343">
        <v>195.55396768574255</v>
      </c>
      <c r="P450" s="343">
        <v>112.76365663887351</v>
      </c>
      <c r="Q450" s="343">
        <v>133.58634327286492</v>
      </c>
      <c r="R450" s="344">
        <v>0.68311752941540771</v>
      </c>
      <c r="S450" s="344">
        <v>1.2611748993555212</v>
      </c>
      <c r="T450" s="343">
        <v>183308.59999999998</v>
      </c>
      <c r="U450" s="342">
        <v>138078.76999999999</v>
      </c>
      <c r="V450" s="342">
        <v>5414.32</v>
      </c>
      <c r="W450" s="344">
        <f t="shared" si="62"/>
        <v>3.9211820904835694E-2</v>
      </c>
      <c r="X450" s="342">
        <v>3524.29</v>
      </c>
      <c r="Y450" s="344">
        <f t="shared" si="63"/>
        <v>2.5523764442571442E-2</v>
      </c>
      <c r="Z450" s="342">
        <v>1488.01</v>
      </c>
      <c r="AA450" s="344">
        <f t="shared" ref="AA450:AA513" si="65">IFERROR(Z450/U450,"0.00"%)</f>
        <v>1.0776529947362655E-2</v>
      </c>
      <c r="AB450" s="342">
        <v>18895.03</v>
      </c>
      <c r="AC450" s="344">
        <f t="shared" si="64"/>
        <v>0.13684239800224177</v>
      </c>
      <c r="AD450" s="342">
        <v>45229.83</v>
      </c>
      <c r="AE450" s="342">
        <v>2010.03</v>
      </c>
      <c r="AF450" s="344">
        <f t="shared" ref="AF450:AF513" si="66">IFERROR(AE450/AD450,"0.00%")</f>
        <v>4.4440361593222878E-2</v>
      </c>
      <c r="AG450" s="342">
        <v>3039.17</v>
      </c>
      <c r="AH450" s="344">
        <f t="shared" ref="AH450:AH513" si="67">IFERROR(AG450/AD450,"0.00%")</f>
        <v>6.7193929316117257E-2</v>
      </c>
      <c r="AI450" s="342">
        <v>4297.8900000000003</v>
      </c>
      <c r="AJ450" s="344">
        <f t="shared" ref="AJ450:AJ513" si="68">IFERROR(AI450/AD450,"0.00"%)</f>
        <v>9.5023350739987314E-2</v>
      </c>
      <c r="AK450" s="342">
        <v>25621.99</v>
      </c>
      <c r="AL450" s="784">
        <f t="shared" ref="AL450:AL513" si="69">IFERROR(AK450/AD450,"0.00%")</f>
        <v>0.56648433124776287</v>
      </c>
      <c r="AM450" s="350">
        <v>35.308030507871052</v>
      </c>
      <c r="AN450" s="350">
        <v>28.453569347402748</v>
      </c>
      <c r="AO450" s="350">
        <v>133.45198945336182</v>
      </c>
      <c r="AP450" s="639">
        <f t="shared" ref="AP450:AP513" si="70">IFERROR(J450/(D450-L450-M450),"0.00%")</f>
        <v>6.0671298011856278E-2</v>
      </c>
    </row>
    <row r="451" spans="1:42" x14ac:dyDescent="0.2">
      <c r="A451" s="638">
        <v>42614</v>
      </c>
      <c r="B451" s="341" t="s">
        <v>137</v>
      </c>
      <c r="C451" s="351" t="s">
        <v>207</v>
      </c>
      <c r="D451" s="342">
        <v>0</v>
      </c>
      <c r="E451" s="342">
        <v>0</v>
      </c>
      <c r="F451" s="342">
        <v>0</v>
      </c>
      <c r="G451" s="342">
        <v>0</v>
      </c>
      <c r="H451" s="342">
        <v>0</v>
      </c>
      <c r="I451" s="342">
        <v>0</v>
      </c>
      <c r="J451" s="342">
        <v>0</v>
      </c>
      <c r="K451" s="343">
        <v>0</v>
      </c>
      <c r="L451" s="342">
        <v>0</v>
      </c>
      <c r="M451" s="342">
        <v>0</v>
      </c>
      <c r="N451" s="354">
        <v>0</v>
      </c>
      <c r="O451" s="343" t="s">
        <v>311</v>
      </c>
      <c r="P451" s="343" t="s">
        <v>311</v>
      </c>
      <c r="Q451" s="343" t="s">
        <v>311</v>
      </c>
      <c r="R451" s="344" t="s">
        <v>312</v>
      </c>
      <c r="S451" s="344" t="s">
        <v>312</v>
      </c>
      <c r="T451" s="343">
        <v>0</v>
      </c>
      <c r="U451" s="342">
        <v>0</v>
      </c>
      <c r="V451" s="342">
        <v>0</v>
      </c>
      <c r="W451" s="344" t="str">
        <f t="shared" ref="W451:W514" si="71">IFERROR(V451/U451,"0.00%")</f>
        <v>0.00%</v>
      </c>
      <c r="X451" s="342">
        <v>0</v>
      </c>
      <c r="Y451" s="344" t="str">
        <f t="shared" ref="Y451:Y514" si="72">IFERROR(X451/U451,"0.00%")</f>
        <v>0.00%</v>
      </c>
      <c r="Z451" s="342">
        <v>0</v>
      </c>
      <c r="AA451" s="344">
        <f t="shared" si="65"/>
        <v>0</v>
      </c>
      <c r="AB451" s="342">
        <v>0</v>
      </c>
      <c r="AC451" s="344" t="str">
        <f t="shared" ref="AC451:AC514" si="73">IFERROR(AB451/U451,"0.00%")</f>
        <v>0.00%</v>
      </c>
      <c r="AD451" s="342">
        <v>0</v>
      </c>
      <c r="AE451" s="342">
        <v>0</v>
      </c>
      <c r="AF451" s="344" t="str">
        <f t="shared" si="66"/>
        <v>0.00%</v>
      </c>
      <c r="AG451" s="342">
        <v>0</v>
      </c>
      <c r="AH451" s="344" t="str">
        <f t="shared" si="67"/>
        <v>0.00%</v>
      </c>
      <c r="AI451" s="342">
        <v>0</v>
      </c>
      <c r="AJ451" s="344">
        <f t="shared" si="68"/>
        <v>0</v>
      </c>
      <c r="AK451" s="342">
        <v>0</v>
      </c>
      <c r="AL451" s="784" t="str">
        <f t="shared" si="69"/>
        <v>0.00%</v>
      </c>
      <c r="AM451" s="350">
        <v>0</v>
      </c>
      <c r="AN451" s="350">
        <v>0</v>
      </c>
      <c r="AO451" s="350">
        <v>0</v>
      </c>
      <c r="AP451" s="639" t="str">
        <f t="shared" si="70"/>
        <v>0.00%</v>
      </c>
    </row>
    <row r="452" spans="1:42" x14ac:dyDescent="0.2">
      <c r="A452" s="638">
        <v>42614</v>
      </c>
      <c r="B452" s="341" t="s">
        <v>137</v>
      </c>
      <c r="C452" s="351" t="s">
        <v>208</v>
      </c>
      <c r="D452" s="342">
        <v>130521.31000280401</v>
      </c>
      <c r="E452" s="342">
        <v>7234</v>
      </c>
      <c r="F452" s="342">
        <v>123287.31000280401</v>
      </c>
      <c r="G452" s="342">
        <v>82631.689918488293</v>
      </c>
      <c r="H452" s="342">
        <v>48580.049943894097</v>
      </c>
      <c r="I452" s="342">
        <v>34051.639974594102</v>
      </c>
      <c r="J452" s="342">
        <v>3818.5500183105501</v>
      </c>
      <c r="K452" s="343">
        <v>78813.139900177659</v>
      </c>
      <c r="L452" s="342">
        <v>45566.4100578129</v>
      </c>
      <c r="M452" s="342">
        <v>7512.50001525879</v>
      </c>
      <c r="N452" s="354">
        <v>677</v>
      </c>
      <c r="O452" s="343">
        <v>192.79366322423044</v>
      </c>
      <c r="P452" s="343">
        <v>114.39054642501081</v>
      </c>
      <c r="Q452" s="343">
        <v>122.05567196231641</v>
      </c>
      <c r="R452" s="344">
        <v>0.63308964579587057</v>
      </c>
      <c r="S452" s="344">
        <v>1.1223494834609156</v>
      </c>
      <c r="T452" s="343">
        <v>148729.08000000002</v>
      </c>
      <c r="U452" s="342">
        <v>106897.87000000001</v>
      </c>
      <c r="V452" s="342">
        <v>2494.5700000000002</v>
      </c>
      <c r="W452" s="344">
        <f t="shared" si="71"/>
        <v>2.3336012214275177E-2</v>
      </c>
      <c r="X452" s="342">
        <v>2529.66</v>
      </c>
      <c r="Y452" s="344">
        <f t="shared" si="72"/>
        <v>2.3664269456444731E-2</v>
      </c>
      <c r="Z452" s="342">
        <v>1202.6099999999999</v>
      </c>
      <c r="AA452" s="344">
        <f t="shared" si="65"/>
        <v>1.1250083841707975E-2</v>
      </c>
      <c r="AB452" s="342">
        <v>14253.24</v>
      </c>
      <c r="AC452" s="344">
        <f t="shared" si="73"/>
        <v>0.13333511696725106</v>
      </c>
      <c r="AD452" s="342">
        <v>41831.21</v>
      </c>
      <c r="AE452" s="342">
        <v>2585.84</v>
      </c>
      <c r="AF452" s="344">
        <f t="shared" si="66"/>
        <v>6.1816045961854804E-2</v>
      </c>
      <c r="AG452" s="342">
        <v>3506.25</v>
      </c>
      <c r="AH452" s="344">
        <f t="shared" si="67"/>
        <v>8.3818995434270252E-2</v>
      </c>
      <c r="AI452" s="342">
        <v>3919.18</v>
      </c>
      <c r="AJ452" s="344">
        <f t="shared" si="68"/>
        <v>9.3690333126868669E-2</v>
      </c>
      <c r="AK452" s="342">
        <v>23498.63</v>
      </c>
      <c r="AL452" s="784">
        <f t="shared" si="69"/>
        <v>0.56174875170954897</v>
      </c>
      <c r="AM452" s="350">
        <v>34.948830065109192</v>
      </c>
      <c r="AN452" s="350">
        <v>27.453184837743979</v>
      </c>
      <c r="AO452" s="350">
        <v>115.61970702045329</v>
      </c>
      <c r="AP452" s="639">
        <f t="shared" si="70"/>
        <v>4.930826035576541E-2</v>
      </c>
    </row>
    <row r="453" spans="1:42" x14ac:dyDescent="0.2">
      <c r="A453" s="638">
        <v>42614</v>
      </c>
      <c r="B453" s="341" t="s">
        <v>136</v>
      </c>
      <c r="C453" s="351" t="s">
        <v>305</v>
      </c>
      <c r="D453" s="342">
        <v>36328.210002899199</v>
      </c>
      <c r="E453" s="342">
        <v>3434</v>
      </c>
      <c r="F453" s="342">
        <v>32894.210002899199</v>
      </c>
      <c r="G453" s="342">
        <v>17637.809976577799</v>
      </c>
      <c r="H453" s="342">
        <v>6736.4099559783899</v>
      </c>
      <c r="I453" s="342">
        <v>10901.4000205994</v>
      </c>
      <c r="J453" s="342">
        <v>361.45000648498501</v>
      </c>
      <c r="K453" s="343">
        <v>17276.359970092803</v>
      </c>
      <c r="L453" s="342">
        <v>8106.2000560760498</v>
      </c>
      <c r="M453" s="342">
        <v>0</v>
      </c>
      <c r="N453" s="354">
        <v>233</v>
      </c>
      <c r="O453" s="343">
        <v>155.91506439012531</v>
      </c>
      <c r="P453" s="343">
        <v>121.12450620954141</v>
      </c>
      <c r="Q453" s="343">
        <v>75.698755264282354</v>
      </c>
      <c r="R453" s="344">
        <v>0.48551277299845463</v>
      </c>
      <c r="S453" s="344">
        <v>0.63307449722289055</v>
      </c>
      <c r="T453" s="343">
        <v>18710.560000000001</v>
      </c>
      <c r="U453" s="342">
        <v>17972.91</v>
      </c>
      <c r="V453" s="342">
        <v>0</v>
      </c>
      <c r="W453" s="344">
        <f t="shared" si="71"/>
        <v>0</v>
      </c>
      <c r="X453" s="342">
        <v>0</v>
      </c>
      <c r="Y453" s="344">
        <f t="shared" si="72"/>
        <v>0</v>
      </c>
      <c r="Z453" s="342">
        <v>0</v>
      </c>
      <c r="AA453" s="344">
        <f t="shared" si="65"/>
        <v>0</v>
      </c>
      <c r="AB453" s="342">
        <v>0</v>
      </c>
      <c r="AC453" s="344">
        <f t="shared" si="73"/>
        <v>0</v>
      </c>
      <c r="AD453" s="342">
        <v>737.65</v>
      </c>
      <c r="AE453" s="342">
        <v>0</v>
      </c>
      <c r="AF453" s="344">
        <f t="shared" si="66"/>
        <v>0</v>
      </c>
      <c r="AG453" s="342">
        <v>0</v>
      </c>
      <c r="AH453" s="344">
        <f t="shared" si="67"/>
        <v>0</v>
      </c>
      <c r="AI453" s="342">
        <v>0</v>
      </c>
      <c r="AJ453" s="344">
        <f t="shared" si="68"/>
        <v>0</v>
      </c>
      <c r="AK453" s="342">
        <v>0</v>
      </c>
      <c r="AL453" s="784">
        <f t="shared" si="69"/>
        <v>0</v>
      </c>
      <c r="AM453" s="350">
        <f>IFERROR(T453/(D453+D401)*60,"0.00")</f>
        <v>24.433835821446817</v>
      </c>
      <c r="AN453" s="350">
        <f>IFERROR(U453/(F453+F401)*60,"0.00")</f>
        <v>26.23663746382578</v>
      </c>
      <c r="AO453" s="350">
        <f>IFERROR(AD453/(E453+E401)*60,"0.00")</f>
        <v>9.1368703550784485</v>
      </c>
      <c r="AP453" s="639">
        <f t="shared" si="70"/>
        <v>1.2807380025945747E-2</v>
      </c>
    </row>
    <row r="454" spans="1:42" x14ac:dyDescent="0.2">
      <c r="A454" s="638">
        <v>42644</v>
      </c>
      <c r="B454" s="341" t="s">
        <v>133</v>
      </c>
      <c r="C454" s="351" t="s">
        <v>161</v>
      </c>
      <c r="D454" s="342">
        <v>0</v>
      </c>
      <c r="E454" s="342">
        <v>0</v>
      </c>
      <c r="F454" s="342">
        <v>0</v>
      </c>
      <c r="G454" s="342">
        <v>50</v>
      </c>
      <c r="H454" s="342">
        <v>0</v>
      </c>
      <c r="I454" s="342">
        <v>50</v>
      </c>
      <c r="J454" s="342">
        <v>6</v>
      </c>
      <c r="K454" s="343">
        <v>44</v>
      </c>
      <c r="L454" s="342">
        <v>0</v>
      </c>
      <c r="M454" s="342">
        <v>-50</v>
      </c>
      <c r="N454" s="354">
        <v>0</v>
      </c>
      <c r="O454" s="343" t="s">
        <v>311</v>
      </c>
      <c r="P454" s="343" t="s">
        <v>311</v>
      </c>
      <c r="Q454" s="343" t="s">
        <v>311</v>
      </c>
      <c r="R454" s="344" t="s">
        <v>312</v>
      </c>
      <c r="S454" s="344">
        <v>1.1363636363636365</v>
      </c>
      <c r="T454" s="343">
        <v>-227.68</v>
      </c>
      <c r="U454" s="342">
        <v>-177.68</v>
      </c>
      <c r="V454" s="342">
        <v>0</v>
      </c>
      <c r="W454" s="344">
        <v>0</v>
      </c>
      <c r="X454" s="342">
        <v>0</v>
      </c>
      <c r="Y454" s="344">
        <f t="shared" si="72"/>
        <v>0</v>
      </c>
      <c r="Z454" s="342">
        <v>0</v>
      </c>
      <c r="AA454" s="344">
        <f t="shared" si="65"/>
        <v>0</v>
      </c>
      <c r="AB454" s="342">
        <v>-177.68</v>
      </c>
      <c r="AC454" s="344">
        <v>0</v>
      </c>
      <c r="AD454" s="342">
        <v>-50</v>
      </c>
      <c r="AE454" s="342">
        <v>0</v>
      </c>
      <c r="AF454" s="344">
        <f t="shared" si="66"/>
        <v>0</v>
      </c>
      <c r="AG454" s="342">
        <v>0</v>
      </c>
      <c r="AH454" s="344">
        <f t="shared" si="67"/>
        <v>0</v>
      </c>
      <c r="AI454" s="342">
        <v>0</v>
      </c>
      <c r="AJ454" s="344">
        <f t="shared" si="68"/>
        <v>0</v>
      </c>
      <c r="AK454" s="342">
        <v>-50</v>
      </c>
      <c r="AL454" s="784">
        <f t="shared" si="69"/>
        <v>1</v>
      </c>
      <c r="AM454" s="350" t="s">
        <v>313</v>
      </c>
      <c r="AN454" s="350" t="s">
        <v>313</v>
      </c>
      <c r="AO454" s="350" t="s">
        <v>313</v>
      </c>
      <c r="AP454" s="639">
        <f t="shared" si="70"/>
        <v>0.12</v>
      </c>
    </row>
    <row r="455" spans="1:42" x14ac:dyDescent="0.2">
      <c r="A455" s="638">
        <v>42644</v>
      </c>
      <c r="B455" s="341" t="s">
        <v>133</v>
      </c>
      <c r="C455" s="351" t="s">
        <v>162</v>
      </c>
      <c r="D455" s="342">
        <v>167552.56001167212</v>
      </c>
      <c r="E455" s="342">
        <v>9162</v>
      </c>
      <c r="F455" s="342">
        <v>158390.56001167212</v>
      </c>
      <c r="G455" s="342">
        <v>107914.84985711412</v>
      </c>
      <c r="H455" s="342">
        <v>58917.309883728616</v>
      </c>
      <c r="I455" s="342">
        <v>48997.539973385603</v>
      </c>
      <c r="J455" s="342">
        <v>3882.4599896669401</v>
      </c>
      <c r="K455" s="343">
        <v>104032.38986744729</v>
      </c>
      <c r="L455" s="342">
        <v>65461.470011711099</v>
      </c>
      <c r="M455" s="342">
        <v>-102.670006752014</v>
      </c>
      <c r="N455" s="354">
        <v>915</v>
      </c>
      <c r="O455" s="343">
        <v>183.11755192532473</v>
      </c>
      <c r="P455" s="343">
        <v>111.68716940624375</v>
      </c>
      <c r="Q455" s="343">
        <v>117.93972661979697</v>
      </c>
      <c r="R455" s="344">
        <v>0.64406565826028928</v>
      </c>
      <c r="S455" s="344">
        <v>1.0976851067822617</v>
      </c>
      <c r="T455" s="343">
        <v>174661.77000000002</v>
      </c>
      <c r="U455" s="342">
        <v>133278.18000000002</v>
      </c>
      <c r="V455" s="342">
        <v>3834.49</v>
      </c>
      <c r="W455" s="344">
        <f t="shared" si="71"/>
        <v>2.8770575948741189E-2</v>
      </c>
      <c r="X455" s="342">
        <v>5197.5600000000004</v>
      </c>
      <c r="Y455" s="344">
        <f t="shared" si="72"/>
        <v>3.8997831452980525E-2</v>
      </c>
      <c r="Z455" s="342">
        <v>6042.67</v>
      </c>
      <c r="AA455" s="344">
        <f t="shared" si="65"/>
        <v>4.5338779386093049E-2</v>
      </c>
      <c r="AB455" s="342">
        <v>16213.51</v>
      </c>
      <c r="AC455" s="344">
        <f t="shared" si="73"/>
        <v>0.12165164620345204</v>
      </c>
      <c r="AD455" s="342">
        <v>41383.589999999997</v>
      </c>
      <c r="AE455" s="342">
        <v>2996.53</v>
      </c>
      <c r="AF455" s="344">
        <f t="shared" si="66"/>
        <v>7.2408652801750656E-2</v>
      </c>
      <c r="AG455" s="342">
        <v>3626.19</v>
      </c>
      <c r="AH455" s="344">
        <f t="shared" si="67"/>
        <v>8.7623862502020741E-2</v>
      </c>
      <c r="AI455" s="342">
        <v>2208.35</v>
      </c>
      <c r="AJ455" s="344">
        <f t="shared" si="68"/>
        <v>5.3362939271339199E-2</v>
      </c>
      <c r="AK455" s="342">
        <v>24773.3</v>
      </c>
      <c r="AL455" s="784">
        <f t="shared" si="69"/>
        <v>0.59862617042165756</v>
      </c>
      <c r="AM455" s="350">
        <v>32.367040211796535</v>
      </c>
      <c r="AN455" s="350">
        <v>26.843141906710347</v>
      </c>
      <c r="AO455" s="350">
        <v>134.47873700173309</v>
      </c>
      <c r="AP455" s="639">
        <f t="shared" si="70"/>
        <v>3.7991164914686612E-2</v>
      </c>
    </row>
    <row r="456" spans="1:42" x14ac:dyDescent="0.2">
      <c r="A456" s="638">
        <v>42644</v>
      </c>
      <c r="B456" s="341" t="s">
        <v>133</v>
      </c>
      <c r="C456" s="351" t="s">
        <v>163</v>
      </c>
      <c r="D456" s="342">
        <v>0</v>
      </c>
      <c r="E456" s="342">
        <v>0</v>
      </c>
      <c r="F456" s="342">
        <v>0</v>
      </c>
      <c r="G456" s="342">
        <v>204.5</v>
      </c>
      <c r="H456" s="342">
        <v>0</v>
      </c>
      <c r="I456" s="342">
        <v>204.5</v>
      </c>
      <c r="J456" s="342">
        <v>0</v>
      </c>
      <c r="K456" s="343">
        <v>204.5</v>
      </c>
      <c r="L456" s="342">
        <v>0</v>
      </c>
      <c r="M456" s="342">
        <v>0</v>
      </c>
      <c r="N456" s="354">
        <v>0</v>
      </c>
      <c r="O456" s="343" t="s">
        <v>311</v>
      </c>
      <c r="P456" s="343" t="s">
        <v>311</v>
      </c>
      <c r="Q456" s="343" t="s">
        <v>311</v>
      </c>
      <c r="R456" s="344" t="s">
        <v>312</v>
      </c>
      <c r="S456" s="344" t="s">
        <v>312</v>
      </c>
      <c r="T456" s="343">
        <v>-70</v>
      </c>
      <c r="U456" s="342">
        <v>0</v>
      </c>
      <c r="V456" s="342">
        <v>0</v>
      </c>
      <c r="W456" s="344" t="str">
        <f t="shared" si="71"/>
        <v>0.00%</v>
      </c>
      <c r="X456" s="342">
        <v>0</v>
      </c>
      <c r="Y456" s="344" t="str">
        <f t="shared" si="72"/>
        <v>0.00%</v>
      </c>
      <c r="Z456" s="342">
        <v>0</v>
      </c>
      <c r="AA456" s="344">
        <f t="shared" si="65"/>
        <v>0</v>
      </c>
      <c r="AB456" s="342">
        <v>0</v>
      </c>
      <c r="AC456" s="344" t="str">
        <f t="shared" si="73"/>
        <v>0.00%</v>
      </c>
      <c r="AD456" s="342">
        <v>-70</v>
      </c>
      <c r="AE456" s="342">
        <v>0</v>
      </c>
      <c r="AF456" s="344">
        <f t="shared" si="66"/>
        <v>0</v>
      </c>
      <c r="AG456" s="342">
        <v>0</v>
      </c>
      <c r="AH456" s="344">
        <f t="shared" si="67"/>
        <v>0</v>
      </c>
      <c r="AI456" s="342">
        <v>0</v>
      </c>
      <c r="AJ456" s="344">
        <f t="shared" si="68"/>
        <v>0</v>
      </c>
      <c r="AK456" s="342">
        <v>-70</v>
      </c>
      <c r="AL456" s="784">
        <f t="shared" si="69"/>
        <v>1</v>
      </c>
      <c r="AM456" s="350" t="s">
        <v>313</v>
      </c>
      <c r="AN456" s="350" t="s">
        <v>313</v>
      </c>
      <c r="AO456" s="350" t="s">
        <v>313</v>
      </c>
      <c r="AP456" s="639" t="str">
        <f t="shared" si="70"/>
        <v>0.00%</v>
      </c>
    </row>
    <row r="457" spans="1:42" x14ac:dyDescent="0.2">
      <c r="A457" s="638">
        <v>42644</v>
      </c>
      <c r="B457" s="341" t="s">
        <v>133</v>
      </c>
      <c r="C457" s="351" t="s">
        <v>164</v>
      </c>
      <c r="D457" s="342">
        <v>200585.39000831399</v>
      </c>
      <c r="E457" s="342">
        <v>12573</v>
      </c>
      <c r="F457" s="342">
        <v>188012.39000831399</v>
      </c>
      <c r="G457" s="342">
        <v>125552.14991717599</v>
      </c>
      <c r="H457" s="342">
        <v>63123.669883241899</v>
      </c>
      <c r="I457" s="342">
        <v>62428.480033934102</v>
      </c>
      <c r="J457" s="342">
        <v>5534.2200164794904</v>
      </c>
      <c r="K457" s="343">
        <v>120017.9299006965</v>
      </c>
      <c r="L457" s="342">
        <v>78121.1800415982</v>
      </c>
      <c r="M457" s="342">
        <v>-258.18999862670898</v>
      </c>
      <c r="N457" s="354">
        <v>949</v>
      </c>
      <c r="O457" s="343">
        <v>211.36500527746469</v>
      </c>
      <c r="P457" s="343">
        <v>129.31759743450212</v>
      </c>
      <c r="Q457" s="343">
        <v>132.29942035529609</v>
      </c>
      <c r="R457" s="344">
        <v>0.62592868758772524</v>
      </c>
      <c r="S457" s="344">
        <v>1.0713721296120713</v>
      </c>
      <c r="T457" s="343">
        <v>227141.81</v>
      </c>
      <c r="U457" s="342">
        <v>185742.41</v>
      </c>
      <c r="V457" s="342">
        <v>8211.14</v>
      </c>
      <c r="W457" s="344">
        <f t="shared" si="71"/>
        <v>4.4207136108549462E-2</v>
      </c>
      <c r="X457" s="342">
        <v>9220.7900000000009</v>
      </c>
      <c r="Y457" s="344">
        <f t="shared" si="72"/>
        <v>4.9642889849442574E-2</v>
      </c>
      <c r="Z457" s="342">
        <v>8838.16</v>
      </c>
      <c r="AA457" s="344">
        <f t="shared" si="65"/>
        <v>4.7582886428576006E-2</v>
      </c>
      <c r="AB457" s="342">
        <v>15957.27</v>
      </c>
      <c r="AC457" s="344">
        <f t="shared" si="73"/>
        <v>8.5910751346448017E-2</v>
      </c>
      <c r="AD457" s="342">
        <v>41399.399999999994</v>
      </c>
      <c r="AE457" s="342">
        <v>2636.83</v>
      </c>
      <c r="AF457" s="344">
        <f t="shared" si="66"/>
        <v>6.3692468972980296E-2</v>
      </c>
      <c r="AG457" s="342">
        <v>2091.5700000000002</v>
      </c>
      <c r="AH457" s="344">
        <f t="shared" si="67"/>
        <v>5.0521746691981055E-2</v>
      </c>
      <c r="AI457" s="342">
        <v>2139.98</v>
      </c>
      <c r="AJ457" s="344">
        <f t="shared" si="68"/>
        <v>5.1691087310444118E-2</v>
      </c>
      <c r="AK457" s="342">
        <v>22122.69</v>
      </c>
      <c r="AL457" s="784">
        <f t="shared" si="69"/>
        <v>0.53437223727880123</v>
      </c>
      <c r="AM457" s="350">
        <v>34.952830228468493</v>
      </c>
      <c r="AN457" s="350">
        <v>31.300846104441597</v>
      </c>
      <c r="AO457" s="350">
        <v>73.348281428402686</v>
      </c>
      <c r="AP457" s="639">
        <f t="shared" si="70"/>
        <v>4.509543504724798E-2</v>
      </c>
    </row>
    <row r="458" spans="1:42" x14ac:dyDescent="0.2">
      <c r="A458" s="638">
        <v>42644</v>
      </c>
      <c r="B458" s="341" t="s">
        <v>133</v>
      </c>
      <c r="C458" s="351" t="s">
        <v>165</v>
      </c>
      <c r="D458" s="342">
        <v>0</v>
      </c>
      <c r="E458" s="342">
        <v>0</v>
      </c>
      <c r="F458" s="342">
        <v>0</v>
      </c>
      <c r="G458" s="342">
        <v>0</v>
      </c>
      <c r="H458" s="342">
        <v>0</v>
      </c>
      <c r="I458" s="342">
        <v>0</v>
      </c>
      <c r="J458" s="342">
        <v>0</v>
      </c>
      <c r="K458" s="343">
        <v>0</v>
      </c>
      <c r="L458" s="342">
        <v>0</v>
      </c>
      <c r="M458" s="342">
        <v>0</v>
      </c>
      <c r="N458" s="354">
        <v>0</v>
      </c>
      <c r="O458" s="343" t="s">
        <v>311</v>
      </c>
      <c r="P458" s="343" t="s">
        <v>311</v>
      </c>
      <c r="Q458" s="343" t="s">
        <v>311</v>
      </c>
      <c r="R458" s="344" t="s">
        <v>312</v>
      </c>
      <c r="S458" s="344" t="s">
        <v>312</v>
      </c>
      <c r="T458" s="343">
        <v>-38.61</v>
      </c>
      <c r="U458" s="342">
        <v>0</v>
      </c>
      <c r="V458" s="342">
        <v>0</v>
      </c>
      <c r="W458" s="344" t="str">
        <f t="shared" si="71"/>
        <v>0.00%</v>
      </c>
      <c r="X458" s="342">
        <v>0</v>
      </c>
      <c r="Y458" s="344" t="str">
        <f t="shared" si="72"/>
        <v>0.00%</v>
      </c>
      <c r="Z458" s="342">
        <v>0</v>
      </c>
      <c r="AA458" s="344">
        <f t="shared" si="65"/>
        <v>0</v>
      </c>
      <c r="AB458" s="342">
        <v>0</v>
      </c>
      <c r="AC458" s="344" t="str">
        <f t="shared" si="73"/>
        <v>0.00%</v>
      </c>
      <c r="AD458" s="342">
        <v>-38.61</v>
      </c>
      <c r="AE458" s="342">
        <v>0</v>
      </c>
      <c r="AF458" s="344">
        <f t="shared" si="66"/>
        <v>0</v>
      </c>
      <c r="AG458" s="342">
        <v>0</v>
      </c>
      <c r="AH458" s="344">
        <f t="shared" si="67"/>
        <v>0</v>
      </c>
      <c r="AI458" s="342">
        <v>0</v>
      </c>
      <c r="AJ458" s="344">
        <f t="shared" si="68"/>
        <v>0</v>
      </c>
      <c r="AK458" s="342">
        <v>-38.61</v>
      </c>
      <c r="AL458" s="784">
        <f t="shared" si="69"/>
        <v>1</v>
      </c>
      <c r="AM458" s="350" t="s">
        <v>313</v>
      </c>
      <c r="AN458" s="350">
        <v>0</v>
      </c>
      <c r="AO458" s="350">
        <v>0</v>
      </c>
      <c r="AP458" s="639" t="str">
        <f t="shared" si="70"/>
        <v>0.00%</v>
      </c>
    </row>
    <row r="459" spans="1:42" x14ac:dyDescent="0.2">
      <c r="A459" s="638">
        <v>42644</v>
      </c>
      <c r="B459" s="341" t="s">
        <v>133</v>
      </c>
      <c r="C459" s="351" t="s">
        <v>166</v>
      </c>
      <c r="D459" s="342">
        <v>324333.320009096</v>
      </c>
      <c r="E459" s="342">
        <v>16985</v>
      </c>
      <c r="F459" s="342">
        <v>307348.320009096</v>
      </c>
      <c r="G459" s="342">
        <v>203222.93978846099</v>
      </c>
      <c r="H459" s="342">
        <v>116247.079767227</v>
      </c>
      <c r="I459" s="342">
        <v>86975.860021233602</v>
      </c>
      <c r="J459" s="342">
        <v>7777.7500053644198</v>
      </c>
      <c r="K459" s="343">
        <v>195445.1897830962</v>
      </c>
      <c r="L459" s="342">
        <v>133347.16033985099</v>
      </c>
      <c r="M459" s="342">
        <v>-741.37999975681305</v>
      </c>
      <c r="N459" s="354">
        <v>1483</v>
      </c>
      <c r="O459" s="343">
        <v>218.70082266291033</v>
      </c>
      <c r="P459" s="343">
        <v>129.28357361362228</v>
      </c>
      <c r="Q459" s="343">
        <v>137.03502345816631</v>
      </c>
      <c r="R459" s="344">
        <v>0.62658668490416336</v>
      </c>
      <c r="S459" s="344">
        <v>1.1047739720717553</v>
      </c>
      <c r="T459" s="343">
        <v>331670.28999999998</v>
      </c>
      <c r="U459" s="342">
        <v>252072.77999999997</v>
      </c>
      <c r="V459" s="342">
        <v>11515.8</v>
      </c>
      <c r="W459" s="344">
        <f t="shared" si="71"/>
        <v>4.5684424950603555E-2</v>
      </c>
      <c r="X459" s="342">
        <v>15558.27</v>
      </c>
      <c r="Y459" s="344">
        <f t="shared" si="72"/>
        <v>6.1721340955576409E-2</v>
      </c>
      <c r="Z459" s="342">
        <v>13339.76</v>
      </c>
      <c r="AA459" s="344">
        <f t="shared" si="65"/>
        <v>5.292027167709263E-2</v>
      </c>
      <c r="AB459" s="342">
        <v>19984.86</v>
      </c>
      <c r="AC459" s="344">
        <f t="shared" si="73"/>
        <v>7.9282102573709087E-2</v>
      </c>
      <c r="AD459" s="342">
        <v>79597.510000000009</v>
      </c>
      <c r="AE459" s="342">
        <v>4096.1899999999996</v>
      </c>
      <c r="AF459" s="344">
        <f t="shared" si="66"/>
        <v>5.1461283148178869E-2</v>
      </c>
      <c r="AG459" s="342">
        <v>3539.65</v>
      </c>
      <c r="AH459" s="344">
        <f t="shared" si="67"/>
        <v>4.4469355888142728E-2</v>
      </c>
      <c r="AI459" s="342">
        <v>4413.75</v>
      </c>
      <c r="AJ459" s="344">
        <f t="shared" si="68"/>
        <v>5.5450855183786521E-2</v>
      </c>
      <c r="AK459" s="342">
        <v>50488.72</v>
      </c>
      <c r="AL459" s="784">
        <f t="shared" si="69"/>
        <v>0.6343002438141595</v>
      </c>
      <c r="AM459" s="350">
        <v>32.408903366837698</v>
      </c>
      <c r="AN459" s="350">
        <v>26.314385601656312</v>
      </c>
      <c r="AO459" s="350">
        <v>121.58817556913981</v>
      </c>
      <c r="AP459" s="639">
        <f t="shared" si="70"/>
        <v>4.0566681337443317E-2</v>
      </c>
    </row>
    <row r="460" spans="1:42" x14ac:dyDescent="0.2">
      <c r="A460" s="638">
        <v>42644</v>
      </c>
      <c r="B460" s="341" t="s">
        <v>133</v>
      </c>
      <c r="C460" s="351" t="s">
        <v>167</v>
      </c>
      <c r="D460" s="342">
        <v>0</v>
      </c>
      <c r="E460" s="342">
        <v>0</v>
      </c>
      <c r="F460" s="342">
        <v>0</v>
      </c>
      <c r="G460" s="342">
        <v>0</v>
      </c>
      <c r="H460" s="342">
        <v>0</v>
      </c>
      <c r="I460" s="342">
        <v>0</v>
      </c>
      <c r="J460" s="342">
        <v>0</v>
      </c>
      <c r="K460" s="343">
        <v>0</v>
      </c>
      <c r="L460" s="342">
        <v>0</v>
      </c>
      <c r="M460" s="342">
        <v>0</v>
      </c>
      <c r="N460" s="354">
        <v>0</v>
      </c>
      <c r="O460" s="343" t="s">
        <v>311</v>
      </c>
      <c r="P460" s="343" t="s">
        <v>311</v>
      </c>
      <c r="Q460" s="343" t="s">
        <v>311</v>
      </c>
      <c r="R460" s="344" t="s">
        <v>312</v>
      </c>
      <c r="S460" s="344" t="s">
        <v>312</v>
      </c>
      <c r="T460" s="343">
        <v>0</v>
      </c>
      <c r="U460" s="342">
        <v>0</v>
      </c>
      <c r="V460" s="342">
        <v>0</v>
      </c>
      <c r="W460" s="344" t="str">
        <f t="shared" si="71"/>
        <v>0.00%</v>
      </c>
      <c r="X460" s="342">
        <v>0</v>
      </c>
      <c r="Y460" s="344" t="str">
        <f t="shared" si="72"/>
        <v>0.00%</v>
      </c>
      <c r="Z460" s="342">
        <v>0</v>
      </c>
      <c r="AA460" s="344">
        <f t="shared" si="65"/>
        <v>0</v>
      </c>
      <c r="AB460" s="342">
        <v>0</v>
      </c>
      <c r="AC460" s="344" t="str">
        <f t="shared" si="73"/>
        <v>0.00%</v>
      </c>
      <c r="AD460" s="342">
        <v>0</v>
      </c>
      <c r="AE460" s="342">
        <v>0</v>
      </c>
      <c r="AF460" s="344" t="str">
        <f t="shared" si="66"/>
        <v>0.00%</v>
      </c>
      <c r="AG460" s="342">
        <v>0</v>
      </c>
      <c r="AH460" s="344" t="str">
        <f t="shared" si="67"/>
        <v>0.00%</v>
      </c>
      <c r="AI460" s="342">
        <v>0</v>
      </c>
      <c r="AJ460" s="344">
        <f t="shared" si="68"/>
        <v>0</v>
      </c>
      <c r="AK460" s="342">
        <v>0</v>
      </c>
      <c r="AL460" s="784" t="str">
        <f t="shared" si="69"/>
        <v>0.00%</v>
      </c>
      <c r="AM460" s="350" t="s">
        <v>313</v>
      </c>
      <c r="AN460" s="350" t="s">
        <v>313</v>
      </c>
      <c r="AO460" s="350" t="s">
        <v>313</v>
      </c>
      <c r="AP460" s="639" t="str">
        <f t="shared" si="70"/>
        <v>0.00%</v>
      </c>
    </row>
    <row r="461" spans="1:42" x14ac:dyDescent="0.2">
      <c r="A461" s="638">
        <v>42644</v>
      </c>
      <c r="B461" s="341" t="s">
        <v>133</v>
      </c>
      <c r="C461" s="351" t="s">
        <v>168</v>
      </c>
      <c r="D461" s="342">
        <v>0</v>
      </c>
      <c r="E461" s="342">
        <v>0</v>
      </c>
      <c r="F461" s="342">
        <v>0</v>
      </c>
      <c r="G461" s="342">
        <v>0</v>
      </c>
      <c r="H461" s="342">
        <v>0</v>
      </c>
      <c r="I461" s="342">
        <v>0</v>
      </c>
      <c r="J461" s="342">
        <v>0</v>
      </c>
      <c r="K461" s="343">
        <v>0</v>
      </c>
      <c r="L461" s="342">
        <v>0</v>
      </c>
      <c r="M461" s="342">
        <v>0</v>
      </c>
      <c r="N461" s="354">
        <v>0</v>
      </c>
      <c r="O461" s="343" t="s">
        <v>311</v>
      </c>
      <c r="P461" s="343" t="s">
        <v>311</v>
      </c>
      <c r="Q461" s="343" t="s">
        <v>311</v>
      </c>
      <c r="R461" s="344" t="s">
        <v>312</v>
      </c>
      <c r="S461" s="344" t="s">
        <v>312</v>
      </c>
      <c r="T461" s="343">
        <v>0</v>
      </c>
      <c r="U461" s="342">
        <v>0</v>
      </c>
      <c r="V461" s="342">
        <v>0</v>
      </c>
      <c r="W461" s="344" t="str">
        <f t="shared" si="71"/>
        <v>0.00%</v>
      </c>
      <c r="X461" s="342">
        <v>0</v>
      </c>
      <c r="Y461" s="344" t="str">
        <f t="shared" si="72"/>
        <v>0.00%</v>
      </c>
      <c r="Z461" s="342">
        <v>0</v>
      </c>
      <c r="AA461" s="344">
        <f t="shared" si="65"/>
        <v>0</v>
      </c>
      <c r="AB461" s="342">
        <v>0</v>
      </c>
      <c r="AC461" s="344" t="str">
        <f t="shared" si="73"/>
        <v>0.00%</v>
      </c>
      <c r="AD461" s="342">
        <v>0</v>
      </c>
      <c r="AE461" s="342">
        <v>0</v>
      </c>
      <c r="AF461" s="344" t="str">
        <f t="shared" si="66"/>
        <v>0.00%</v>
      </c>
      <c r="AG461" s="342">
        <v>0</v>
      </c>
      <c r="AH461" s="344" t="str">
        <f t="shared" si="67"/>
        <v>0.00%</v>
      </c>
      <c r="AI461" s="342">
        <v>0</v>
      </c>
      <c r="AJ461" s="344">
        <f t="shared" si="68"/>
        <v>0</v>
      </c>
      <c r="AK461" s="342">
        <v>0</v>
      </c>
      <c r="AL461" s="784" t="str">
        <f t="shared" si="69"/>
        <v>0.00%</v>
      </c>
      <c r="AM461" s="350">
        <v>0</v>
      </c>
      <c r="AN461" s="350">
        <v>0</v>
      </c>
      <c r="AO461" s="350">
        <v>0</v>
      </c>
      <c r="AP461" s="639" t="str">
        <f t="shared" si="70"/>
        <v>0.00%</v>
      </c>
    </row>
    <row r="462" spans="1:42" x14ac:dyDescent="0.2">
      <c r="A462" s="638">
        <v>42644</v>
      </c>
      <c r="B462" s="341" t="s">
        <v>133</v>
      </c>
      <c r="C462" s="351" t="s">
        <v>169</v>
      </c>
      <c r="D462" s="342">
        <v>222914.82001148001</v>
      </c>
      <c r="E462" s="342">
        <v>11289</v>
      </c>
      <c r="F462" s="342">
        <v>211625.82001148001</v>
      </c>
      <c r="G462" s="342">
        <v>139568.59989154001</v>
      </c>
      <c r="H462" s="342">
        <v>84318.759814199104</v>
      </c>
      <c r="I462" s="342">
        <v>55249.840077340603</v>
      </c>
      <c r="J462" s="342">
        <v>4867.3100016117096</v>
      </c>
      <c r="K462" s="343">
        <v>134701.28988992801</v>
      </c>
      <c r="L462" s="342">
        <v>84709.780212670594</v>
      </c>
      <c r="M462" s="342">
        <v>-1095.51999771595</v>
      </c>
      <c r="N462" s="354">
        <v>1108</v>
      </c>
      <c r="O462" s="343">
        <v>201.18666066018051</v>
      </c>
      <c r="P462" s="343">
        <v>125.7225268921709</v>
      </c>
      <c r="Q462" s="343">
        <v>125.96444033532465</v>
      </c>
      <c r="R462" s="344">
        <v>0.626107317065559</v>
      </c>
      <c r="S462" s="344">
        <v>1.0381999996612472</v>
      </c>
      <c r="T462" s="343">
        <v>263289.32999999996</v>
      </c>
      <c r="U462" s="342">
        <v>205475.99</v>
      </c>
      <c r="V462" s="342">
        <v>8472.17</v>
      </c>
      <c r="W462" s="344">
        <f t="shared" si="71"/>
        <v>4.1231922036243748E-2</v>
      </c>
      <c r="X462" s="342">
        <v>11773.55</v>
      </c>
      <c r="Y462" s="344">
        <f t="shared" si="72"/>
        <v>5.7298908743547115E-2</v>
      </c>
      <c r="Z462" s="342">
        <v>8043.47</v>
      </c>
      <c r="AA462" s="344">
        <f t="shared" si="65"/>
        <v>3.9145546883604262E-2</v>
      </c>
      <c r="AB462" s="342">
        <v>18572.099999999999</v>
      </c>
      <c r="AC462" s="344">
        <f t="shared" si="73"/>
        <v>9.0385742879253189E-2</v>
      </c>
      <c r="AD462" s="342">
        <v>57813.34</v>
      </c>
      <c r="AE462" s="342">
        <v>2516.46</v>
      </c>
      <c r="AF462" s="344">
        <f t="shared" si="66"/>
        <v>4.3527324316498583E-2</v>
      </c>
      <c r="AG462" s="342">
        <v>2575.8000000000002</v>
      </c>
      <c r="AH462" s="344">
        <f t="shared" si="67"/>
        <v>4.4553731024708144E-2</v>
      </c>
      <c r="AI462" s="342">
        <v>3640.12</v>
      </c>
      <c r="AJ462" s="344">
        <f t="shared" si="68"/>
        <v>6.2963322997771798E-2</v>
      </c>
      <c r="AK462" s="342">
        <v>36554.559999999998</v>
      </c>
      <c r="AL462" s="784">
        <f t="shared" si="69"/>
        <v>0.63228590494858106</v>
      </c>
      <c r="AM462" s="350">
        <v>36.729786114126497</v>
      </c>
      <c r="AN462" s="350">
        <v>30.745505779834836</v>
      </c>
      <c r="AO462" s="350">
        <v>119.16454287284719</v>
      </c>
      <c r="AP462" s="639">
        <f t="shared" si="70"/>
        <v>3.4941065626163524E-2</v>
      </c>
    </row>
    <row r="463" spans="1:42" x14ac:dyDescent="0.2">
      <c r="A463" s="638">
        <v>42644</v>
      </c>
      <c r="B463" s="341" t="s">
        <v>133</v>
      </c>
      <c r="C463" s="351" t="s">
        <v>170</v>
      </c>
      <c r="D463" s="342">
        <v>0</v>
      </c>
      <c r="E463" s="342">
        <v>0</v>
      </c>
      <c r="F463" s="342">
        <v>0</v>
      </c>
      <c r="G463" s="342">
        <v>0</v>
      </c>
      <c r="H463" s="342">
        <v>0</v>
      </c>
      <c r="I463" s="342">
        <v>0</v>
      </c>
      <c r="J463" s="342">
        <v>0</v>
      </c>
      <c r="K463" s="343">
        <v>0</v>
      </c>
      <c r="L463" s="342">
        <v>0</v>
      </c>
      <c r="M463" s="342">
        <v>0</v>
      </c>
      <c r="N463" s="354">
        <v>0</v>
      </c>
      <c r="O463" s="343" t="s">
        <v>311</v>
      </c>
      <c r="P463" s="343" t="s">
        <v>311</v>
      </c>
      <c r="Q463" s="343" t="s">
        <v>311</v>
      </c>
      <c r="R463" s="344" t="s">
        <v>312</v>
      </c>
      <c r="S463" s="344" t="s">
        <v>312</v>
      </c>
      <c r="T463" s="343">
        <v>0</v>
      </c>
      <c r="U463" s="342">
        <v>0</v>
      </c>
      <c r="V463" s="342">
        <v>0</v>
      </c>
      <c r="W463" s="344" t="str">
        <f t="shared" si="71"/>
        <v>0.00%</v>
      </c>
      <c r="X463" s="342">
        <v>0</v>
      </c>
      <c r="Y463" s="344" t="str">
        <f t="shared" si="72"/>
        <v>0.00%</v>
      </c>
      <c r="Z463" s="342">
        <v>0</v>
      </c>
      <c r="AA463" s="344">
        <f t="shared" si="65"/>
        <v>0</v>
      </c>
      <c r="AB463" s="342">
        <v>0</v>
      </c>
      <c r="AC463" s="344" t="str">
        <f t="shared" si="73"/>
        <v>0.00%</v>
      </c>
      <c r="AD463" s="342">
        <v>0</v>
      </c>
      <c r="AE463" s="342">
        <v>0</v>
      </c>
      <c r="AF463" s="344" t="str">
        <f t="shared" si="66"/>
        <v>0.00%</v>
      </c>
      <c r="AG463" s="342">
        <v>0</v>
      </c>
      <c r="AH463" s="344" t="str">
        <f t="shared" si="67"/>
        <v>0.00%</v>
      </c>
      <c r="AI463" s="342">
        <v>0</v>
      </c>
      <c r="AJ463" s="344">
        <f t="shared" si="68"/>
        <v>0</v>
      </c>
      <c r="AK463" s="342">
        <v>0</v>
      </c>
      <c r="AL463" s="784" t="str">
        <f t="shared" si="69"/>
        <v>0.00%</v>
      </c>
      <c r="AM463" s="350">
        <v>0</v>
      </c>
      <c r="AN463" s="350">
        <v>0</v>
      </c>
      <c r="AO463" s="350">
        <v>0</v>
      </c>
      <c r="AP463" s="639" t="str">
        <f t="shared" si="70"/>
        <v>0.00%</v>
      </c>
    </row>
    <row r="464" spans="1:42" x14ac:dyDescent="0.2">
      <c r="A464" s="638">
        <v>42644</v>
      </c>
      <c r="B464" s="341" t="s">
        <v>133</v>
      </c>
      <c r="C464" s="351" t="s">
        <v>171</v>
      </c>
      <c r="D464" s="342">
        <v>228493.18000451699</v>
      </c>
      <c r="E464" s="342">
        <v>13541.5</v>
      </c>
      <c r="F464" s="342">
        <v>214951.68000451699</v>
      </c>
      <c r="G464" s="342">
        <v>143253.27982152399</v>
      </c>
      <c r="H464" s="342">
        <v>87218.539808401794</v>
      </c>
      <c r="I464" s="342">
        <v>56034.740013122602</v>
      </c>
      <c r="J464" s="342">
        <v>4194.7900149822199</v>
      </c>
      <c r="K464" s="343">
        <v>139058.48980654217</v>
      </c>
      <c r="L464" s="342">
        <v>85804.690316475899</v>
      </c>
      <c r="M464" s="342">
        <v>-11.309997558593</v>
      </c>
      <c r="N464" s="354">
        <v>1254</v>
      </c>
      <c r="O464" s="343">
        <v>182.21146730822727</v>
      </c>
      <c r="P464" s="343">
        <v>113.79569352918635</v>
      </c>
      <c r="Q464" s="343">
        <v>114.23706524842456</v>
      </c>
      <c r="R464" s="344">
        <v>0.6269477269242455</v>
      </c>
      <c r="S464" s="344">
        <v>1.0342822989738705</v>
      </c>
      <c r="T464" s="343">
        <v>296398.82999999996</v>
      </c>
      <c r="U464" s="342">
        <v>224745.62999999998</v>
      </c>
      <c r="V464" s="342">
        <v>11538.77</v>
      </c>
      <c r="W464" s="344">
        <f t="shared" si="71"/>
        <v>5.1341465460307288E-2</v>
      </c>
      <c r="X464" s="342">
        <v>11593.3</v>
      </c>
      <c r="Y464" s="344">
        <f t="shared" si="72"/>
        <v>5.1584095317003496E-2</v>
      </c>
      <c r="Z464" s="342">
        <v>11364.6</v>
      </c>
      <c r="AA464" s="344">
        <f t="shared" si="65"/>
        <v>5.0566500447639412E-2</v>
      </c>
      <c r="AB464" s="342">
        <v>21937.31</v>
      </c>
      <c r="AC464" s="344">
        <f t="shared" si="73"/>
        <v>9.7609506356141407E-2</v>
      </c>
      <c r="AD464" s="342">
        <v>71653.2</v>
      </c>
      <c r="AE464" s="342">
        <v>2961.52</v>
      </c>
      <c r="AF464" s="344">
        <f t="shared" si="66"/>
        <v>4.1331301323597552E-2</v>
      </c>
      <c r="AG464" s="342">
        <v>5026.13</v>
      </c>
      <c r="AH464" s="344">
        <f t="shared" si="67"/>
        <v>7.014522728922086E-2</v>
      </c>
      <c r="AI464" s="342">
        <v>4275.8999999999996</v>
      </c>
      <c r="AJ464" s="344">
        <f t="shared" si="68"/>
        <v>5.9674934266718022E-2</v>
      </c>
      <c r="AK464" s="342">
        <v>46354.13</v>
      </c>
      <c r="AL464" s="784">
        <f t="shared" si="69"/>
        <v>0.64692337536913913</v>
      </c>
      <c r="AM464" s="350">
        <v>40.98891211349045</v>
      </c>
      <c r="AN464" s="350">
        <v>33.799041519775983</v>
      </c>
      <c r="AO464" s="350">
        <v>123.17307637210989</v>
      </c>
      <c r="AP464" s="639">
        <f t="shared" si="70"/>
        <v>2.9395906821343142E-2</v>
      </c>
    </row>
    <row r="465" spans="1:42" x14ac:dyDescent="0.2">
      <c r="A465" s="638">
        <v>42644</v>
      </c>
      <c r="B465" s="341" t="s">
        <v>133</v>
      </c>
      <c r="C465" s="351" t="s">
        <v>172</v>
      </c>
      <c r="D465" s="342">
        <v>0</v>
      </c>
      <c r="E465" s="342">
        <v>0</v>
      </c>
      <c r="F465" s="342">
        <v>0</v>
      </c>
      <c r="G465" s="342">
        <v>0</v>
      </c>
      <c r="H465" s="342">
        <v>0</v>
      </c>
      <c r="I465" s="342">
        <v>0</v>
      </c>
      <c r="J465" s="342">
        <v>0</v>
      </c>
      <c r="K465" s="343">
        <v>0</v>
      </c>
      <c r="L465" s="342">
        <v>0</v>
      </c>
      <c r="M465" s="342">
        <v>0</v>
      </c>
      <c r="N465" s="354">
        <v>0</v>
      </c>
      <c r="O465" s="343" t="s">
        <v>311</v>
      </c>
      <c r="P465" s="343" t="s">
        <v>311</v>
      </c>
      <c r="Q465" s="343" t="s">
        <v>311</v>
      </c>
      <c r="R465" s="344" t="s">
        <v>312</v>
      </c>
      <c r="S465" s="344" t="s">
        <v>312</v>
      </c>
      <c r="T465" s="343">
        <v>0</v>
      </c>
      <c r="U465" s="342">
        <v>0</v>
      </c>
      <c r="V465" s="342">
        <v>0</v>
      </c>
      <c r="W465" s="344" t="str">
        <f t="shared" si="71"/>
        <v>0.00%</v>
      </c>
      <c r="X465" s="342">
        <v>0</v>
      </c>
      <c r="Y465" s="344" t="str">
        <f t="shared" si="72"/>
        <v>0.00%</v>
      </c>
      <c r="Z465" s="342">
        <v>0</v>
      </c>
      <c r="AA465" s="344">
        <f t="shared" si="65"/>
        <v>0</v>
      </c>
      <c r="AB465" s="342">
        <v>0</v>
      </c>
      <c r="AC465" s="344" t="str">
        <f t="shared" si="73"/>
        <v>0.00%</v>
      </c>
      <c r="AD465" s="342">
        <v>0</v>
      </c>
      <c r="AE465" s="342">
        <v>0</v>
      </c>
      <c r="AF465" s="344" t="str">
        <f t="shared" si="66"/>
        <v>0.00%</v>
      </c>
      <c r="AG465" s="342">
        <v>0</v>
      </c>
      <c r="AH465" s="344" t="str">
        <f t="shared" si="67"/>
        <v>0.00%</v>
      </c>
      <c r="AI465" s="342">
        <v>0</v>
      </c>
      <c r="AJ465" s="344">
        <f t="shared" si="68"/>
        <v>0</v>
      </c>
      <c r="AK465" s="342">
        <v>0</v>
      </c>
      <c r="AL465" s="784" t="str">
        <f t="shared" si="69"/>
        <v>0.00%</v>
      </c>
      <c r="AM465" s="350">
        <v>0</v>
      </c>
      <c r="AN465" s="350">
        <v>0</v>
      </c>
      <c r="AO465" s="350">
        <v>0</v>
      </c>
      <c r="AP465" s="639" t="str">
        <f t="shared" si="70"/>
        <v>0.00%</v>
      </c>
    </row>
    <row r="466" spans="1:42" x14ac:dyDescent="0.2">
      <c r="A466" s="638">
        <v>42644</v>
      </c>
      <c r="B466" s="341" t="s">
        <v>133</v>
      </c>
      <c r="C466" s="351" t="s">
        <v>173</v>
      </c>
      <c r="D466" s="342">
        <v>246819.490006423</v>
      </c>
      <c r="E466" s="342">
        <v>20183</v>
      </c>
      <c r="F466" s="342">
        <v>226636.490006423</v>
      </c>
      <c r="G466" s="342">
        <v>172073.249705959</v>
      </c>
      <c r="H466" s="342">
        <v>103381.309636265</v>
      </c>
      <c r="I466" s="342">
        <v>68691.940069694101</v>
      </c>
      <c r="J466" s="342">
        <v>6188.1099929809598</v>
      </c>
      <c r="K466" s="343">
        <v>165885.13971297815</v>
      </c>
      <c r="L466" s="342">
        <v>95518.050221080004</v>
      </c>
      <c r="M466" s="342">
        <v>-938.17000768706203</v>
      </c>
      <c r="N466" s="354">
        <v>1356</v>
      </c>
      <c r="O466" s="343">
        <v>182.02027286609365</v>
      </c>
      <c r="P466" s="343">
        <v>112.27109866742632</v>
      </c>
      <c r="Q466" s="343">
        <v>126.89767677430613</v>
      </c>
      <c r="R466" s="344">
        <v>0.69716232580126158</v>
      </c>
      <c r="S466" s="344">
        <v>1.1781683169398116</v>
      </c>
      <c r="T466" s="343">
        <v>279585.61</v>
      </c>
      <c r="U466" s="342">
        <v>193494.39</v>
      </c>
      <c r="V466" s="342">
        <v>8786.31</v>
      </c>
      <c r="W466" s="344">
        <f t="shared" si="71"/>
        <v>4.5408603319197001E-2</v>
      </c>
      <c r="X466" s="342">
        <v>7124.35</v>
      </c>
      <c r="Y466" s="344">
        <f t="shared" si="72"/>
        <v>3.6819413730806355E-2</v>
      </c>
      <c r="Z466" s="342">
        <v>9695.1299999999992</v>
      </c>
      <c r="AA466" s="344">
        <f t="shared" si="65"/>
        <v>5.0105483678364003E-2</v>
      </c>
      <c r="AB466" s="342">
        <v>22647.26</v>
      </c>
      <c r="AC466" s="344">
        <f t="shared" si="73"/>
        <v>0.11704349671326386</v>
      </c>
      <c r="AD466" s="342">
        <v>86091.22</v>
      </c>
      <c r="AE466" s="342">
        <v>4323.33</v>
      </c>
      <c r="AF466" s="344">
        <f t="shared" si="66"/>
        <v>5.0218012940227819E-2</v>
      </c>
      <c r="AG466" s="342">
        <v>5004.62</v>
      </c>
      <c r="AH466" s="344">
        <f t="shared" si="67"/>
        <v>5.8131595765514764E-2</v>
      </c>
      <c r="AI466" s="342">
        <v>4573.67</v>
      </c>
      <c r="AJ466" s="344">
        <f t="shared" si="68"/>
        <v>5.3125858827415849E-2</v>
      </c>
      <c r="AK466" s="342">
        <v>57589.81</v>
      </c>
      <c r="AL466" s="784">
        <f t="shared" si="69"/>
        <v>0.66893941101078591</v>
      </c>
      <c r="AM466" s="350">
        <v>37.409783166483514</v>
      </c>
      <c r="AN466" s="350">
        <v>28.668872331328611</v>
      </c>
      <c r="AO466" s="350">
        <v>118.85944959194944</v>
      </c>
      <c r="AP466" s="639">
        <f t="shared" si="70"/>
        <v>4.0647174551969111E-2</v>
      </c>
    </row>
    <row r="467" spans="1:42" x14ac:dyDescent="0.2">
      <c r="A467" s="638">
        <v>42644</v>
      </c>
      <c r="B467" s="341" t="s">
        <v>133</v>
      </c>
      <c r="C467" s="351" t="s">
        <v>174</v>
      </c>
      <c r="D467" s="342">
        <v>219460.410008159</v>
      </c>
      <c r="E467" s="342">
        <v>11696</v>
      </c>
      <c r="F467" s="342">
        <v>207764.410008159</v>
      </c>
      <c r="G467" s="342">
        <v>134177.79993727099</v>
      </c>
      <c r="H467" s="342">
        <v>75242.019889853895</v>
      </c>
      <c r="I467" s="342">
        <v>58935.780047416702</v>
      </c>
      <c r="J467" s="342">
        <v>4508.4099938869504</v>
      </c>
      <c r="K467" s="343">
        <v>129669.38994338363</v>
      </c>
      <c r="L467" s="342">
        <v>80064.410307236001</v>
      </c>
      <c r="M467" s="342">
        <v>-163.76999664306601</v>
      </c>
      <c r="N467" s="354">
        <v>1058</v>
      </c>
      <c r="O467" s="343">
        <v>207.42949906253213</v>
      </c>
      <c r="P467" s="343">
        <v>131.90904508276563</v>
      </c>
      <c r="Q467" s="343">
        <v>126.82211714297786</v>
      </c>
      <c r="R467" s="344">
        <v>0.6113986569708959</v>
      </c>
      <c r="S467" s="344">
        <v>0.99353164774997282</v>
      </c>
      <c r="T467" s="343">
        <v>224818.73</v>
      </c>
      <c r="U467" s="342">
        <v>169615.26</v>
      </c>
      <c r="V467" s="342">
        <v>5715.42</v>
      </c>
      <c r="W467" s="344">
        <f t="shared" si="71"/>
        <v>3.3696378498019576E-2</v>
      </c>
      <c r="X467" s="342">
        <v>9683.15</v>
      </c>
      <c r="Y467" s="344">
        <f t="shared" si="72"/>
        <v>5.7088908156023223E-2</v>
      </c>
      <c r="Z467" s="342">
        <v>6007.92</v>
      </c>
      <c r="AA467" s="344">
        <f t="shared" si="65"/>
        <v>3.5420869560910971E-2</v>
      </c>
      <c r="AB467" s="342">
        <v>12490.43</v>
      </c>
      <c r="AC467" s="344">
        <f t="shared" si="73"/>
        <v>7.3639777458702704E-2</v>
      </c>
      <c r="AD467" s="342">
        <v>55203.47</v>
      </c>
      <c r="AE467" s="342">
        <v>2327.84</v>
      </c>
      <c r="AF467" s="344">
        <f t="shared" si="66"/>
        <v>4.2168363691630253E-2</v>
      </c>
      <c r="AG467" s="342">
        <v>3351.75</v>
      </c>
      <c r="AH467" s="344">
        <f t="shared" si="67"/>
        <v>6.0716291928750131E-2</v>
      </c>
      <c r="AI467" s="342">
        <v>1990.5</v>
      </c>
      <c r="AJ467" s="344">
        <f t="shared" si="68"/>
        <v>3.6057515949631427E-2</v>
      </c>
      <c r="AK467" s="342">
        <v>34612.11</v>
      </c>
      <c r="AL467" s="784">
        <f t="shared" si="69"/>
        <v>0.62699156411725565</v>
      </c>
      <c r="AM467" s="350">
        <v>35.496582605571142</v>
      </c>
      <c r="AN467" s="350">
        <v>28.452791095246781</v>
      </c>
      <c r="AO467" s="350">
        <v>148.29897618052655</v>
      </c>
      <c r="AP467" s="639">
        <f t="shared" si="70"/>
        <v>3.23045101296522E-2</v>
      </c>
    </row>
    <row r="468" spans="1:42" x14ac:dyDescent="0.2">
      <c r="A468" s="638">
        <v>42644</v>
      </c>
      <c r="B468" s="341" t="s">
        <v>133</v>
      </c>
      <c r="C468" s="351" t="s">
        <v>175</v>
      </c>
      <c r="D468" s="342">
        <v>0</v>
      </c>
      <c r="E468" s="342">
        <v>0</v>
      </c>
      <c r="F468" s="342">
        <v>0</v>
      </c>
      <c r="G468" s="342">
        <v>132.11999893188499</v>
      </c>
      <c r="H468" s="342">
        <v>124.86999893188499</v>
      </c>
      <c r="I468" s="342">
        <v>7.25</v>
      </c>
      <c r="J468" s="342">
        <v>313.19000244140602</v>
      </c>
      <c r="K468" s="343">
        <v>-181.07000350952103</v>
      </c>
      <c r="L468" s="342">
        <v>83.440002441405994</v>
      </c>
      <c r="M468" s="342">
        <v>-167</v>
      </c>
      <c r="N468" s="354">
        <v>0</v>
      </c>
      <c r="O468" s="343" t="s">
        <v>311</v>
      </c>
      <c r="P468" s="343" t="s">
        <v>311</v>
      </c>
      <c r="Q468" s="343" t="s">
        <v>311</v>
      </c>
      <c r="R468" s="344" t="s">
        <v>312</v>
      </c>
      <c r="S468" s="344">
        <v>-0.57536034543617376</v>
      </c>
      <c r="T468" s="343">
        <v>3459.73</v>
      </c>
      <c r="U468" s="342">
        <v>458.88</v>
      </c>
      <c r="V468" s="342">
        <v>0</v>
      </c>
      <c r="W468" s="344">
        <f t="shared" si="71"/>
        <v>0</v>
      </c>
      <c r="X468" s="342">
        <v>0</v>
      </c>
      <c r="Y468" s="344">
        <f t="shared" si="72"/>
        <v>0</v>
      </c>
      <c r="Z468" s="342">
        <v>0</v>
      </c>
      <c r="AA468" s="344">
        <f t="shared" si="65"/>
        <v>0</v>
      </c>
      <c r="AB468" s="342">
        <v>458.88</v>
      </c>
      <c r="AC468" s="344">
        <f t="shared" si="73"/>
        <v>1</v>
      </c>
      <c r="AD468" s="342">
        <v>3000.85</v>
      </c>
      <c r="AE468" s="342">
        <v>0</v>
      </c>
      <c r="AF468" s="344">
        <f t="shared" si="66"/>
        <v>0</v>
      </c>
      <c r="AG468" s="342">
        <v>0</v>
      </c>
      <c r="AH468" s="344">
        <f t="shared" si="67"/>
        <v>0</v>
      </c>
      <c r="AI468" s="342">
        <v>0</v>
      </c>
      <c r="AJ468" s="344">
        <f t="shared" si="68"/>
        <v>0</v>
      </c>
      <c r="AK468" s="342">
        <v>3000.85</v>
      </c>
      <c r="AL468" s="784">
        <f t="shared" si="69"/>
        <v>1</v>
      </c>
      <c r="AM468" s="350" t="s">
        <v>313</v>
      </c>
      <c r="AN468" s="350" t="s">
        <v>313</v>
      </c>
      <c r="AO468" s="350" t="s">
        <v>313</v>
      </c>
      <c r="AP468" s="639">
        <f t="shared" si="70"/>
        <v>3.7480853469603166</v>
      </c>
    </row>
    <row r="469" spans="1:42" x14ac:dyDescent="0.2">
      <c r="A469" s="638">
        <v>42644</v>
      </c>
      <c r="B469" s="341" t="s">
        <v>133</v>
      </c>
      <c r="C469" s="351" t="s">
        <v>176</v>
      </c>
      <c r="D469" s="342">
        <v>0</v>
      </c>
      <c r="E469" s="342">
        <v>0</v>
      </c>
      <c r="F469" s="342">
        <v>0</v>
      </c>
      <c r="G469" s="342">
        <v>0</v>
      </c>
      <c r="H469" s="342">
        <v>0</v>
      </c>
      <c r="I469" s="342">
        <v>0</v>
      </c>
      <c r="J469" s="342">
        <v>0</v>
      </c>
      <c r="K469" s="343">
        <v>0</v>
      </c>
      <c r="L469" s="342">
        <v>0</v>
      </c>
      <c r="M469" s="342">
        <v>0</v>
      </c>
      <c r="N469" s="354">
        <v>0</v>
      </c>
      <c r="O469" s="343" t="s">
        <v>311</v>
      </c>
      <c r="P469" s="343" t="s">
        <v>311</v>
      </c>
      <c r="Q469" s="343" t="s">
        <v>311</v>
      </c>
      <c r="R469" s="344" t="s">
        <v>312</v>
      </c>
      <c r="S469" s="344" t="s">
        <v>312</v>
      </c>
      <c r="T469" s="343">
        <v>0</v>
      </c>
      <c r="U469" s="342">
        <v>0</v>
      </c>
      <c r="V469" s="342">
        <v>0</v>
      </c>
      <c r="W469" s="344" t="str">
        <f t="shared" si="71"/>
        <v>0.00%</v>
      </c>
      <c r="X469" s="342">
        <v>0</v>
      </c>
      <c r="Y469" s="344" t="str">
        <f t="shared" si="72"/>
        <v>0.00%</v>
      </c>
      <c r="Z469" s="342">
        <v>0</v>
      </c>
      <c r="AA469" s="344">
        <f t="shared" si="65"/>
        <v>0</v>
      </c>
      <c r="AB469" s="342">
        <v>0</v>
      </c>
      <c r="AC469" s="344" t="str">
        <f t="shared" si="73"/>
        <v>0.00%</v>
      </c>
      <c r="AD469" s="342">
        <v>0</v>
      </c>
      <c r="AE469" s="342">
        <v>0</v>
      </c>
      <c r="AF469" s="344" t="str">
        <f t="shared" si="66"/>
        <v>0.00%</v>
      </c>
      <c r="AG469" s="342">
        <v>0</v>
      </c>
      <c r="AH469" s="344" t="str">
        <f t="shared" si="67"/>
        <v>0.00%</v>
      </c>
      <c r="AI469" s="342">
        <v>0</v>
      </c>
      <c r="AJ469" s="344">
        <f t="shared" si="68"/>
        <v>0</v>
      </c>
      <c r="AK469" s="342">
        <v>0</v>
      </c>
      <c r="AL469" s="784" t="str">
        <f t="shared" si="69"/>
        <v>0.00%</v>
      </c>
      <c r="AM469" s="350" t="s">
        <v>313</v>
      </c>
      <c r="AN469" s="350" t="s">
        <v>313</v>
      </c>
      <c r="AO469" s="350" t="s">
        <v>313</v>
      </c>
      <c r="AP469" s="639" t="str">
        <f t="shared" si="70"/>
        <v>0.00%</v>
      </c>
    </row>
    <row r="470" spans="1:42" x14ac:dyDescent="0.2">
      <c r="A470" s="638">
        <v>42644</v>
      </c>
      <c r="B470" s="341" t="s">
        <v>133</v>
      </c>
      <c r="C470" s="351" t="s">
        <v>177</v>
      </c>
      <c r="D470" s="342">
        <v>210957.30000686599</v>
      </c>
      <c r="E470" s="342">
        <v>11603.8099999428</v>
      </c>
      <c r="F470" s="342">
        <v>199353.490006924</v>
      </c>
      <c r="G470" s="342">
        <v>133710.53003144299</v>
      </c>
      <c r="H470" s="342">
        <v>70545.750051259995</v>
      </c>
      <c r="I470" s="342">
        <v>63164.779980182597</v>
      </c>
      <c r="J470" s="342">
        <v>6817.9399937391299</v>
      </c>
      <c r="K470" s="343">
        <v>126892.59003770346</v>
      </c>
      <c r="L470" s="342">
        <v>81646.700199842497</v>
      </c>
      <c r="M470" s="342">
        <v>87.200004577635994</v>
      </c>
      <c r="N470" s="354">
        <v>995</v>
      </c>
      <c r="O470" s="343">
        <v>212.01738694157467</v>
      </c>
      <c r="P470" s="343">
        <v>129.87276362054942</v>
      </c>
      <c r="Q470" s="343">
        <v>134.38244224265586</v>
      </c>
      <c r="R470" s="344">
        <v>0.63382746189437489</v>
      </c>
      <c r="S470" s="344">
        <v>1.0923575650988309</v>
      </c>
      <c r="T470" s="343">
        <v>172786.5</v>
      </c>
      <c r="U470" s="342">
        <v>143415.04999999999</v>
      </c>
      <c r="V470" s="342">
        <v>5080.62</v>
      </c>
      <c r="W470" s="344">
        <f t="shared" si="71"/>
        <v>3.542598911341592E-2</v>
      </c>
      <c r="X470" s="342">
        <v>3979.18</v>
      </c>
      <c r="Y470" s="344">
        <f t="shared" si="72"/>
        <v>2.7745902539517298E-2</v>
      </c>
      <c r="Z470" s="342">
        <v>4396.58</v>
      </c>
      <c r="AA470" s="344">
        <f t="shared" si="65"/>
        <v>3.0656336277120153E-2</v>
      </c>
      <c r="AB470" s="342">
        <v>12100.34</v>
      </c>
      <c r="AC470" s="344">
        <f t="shared" si="73"/>
        <v>8.4372874394981562E-2</v>
      </c>
      <c r="AD470" s="342">
        <v>29371.45</v>
      </c>
      <c r="AE470" s="342">
        <v>2153.87</v>
      </c>
      <c r="AF470" s="344">
        <f t="shared" si="66"/>
        <v>7.3332096304404445E-2</v>
      </c>
      <c r="AG470" s="342">
        <v>1877</v>
      </c>
      <c r="AH470" s="344">
        <f t="shared" si="67"/>
        <v>6.3905595399614254E-2</v>
      </c>
      <c r="AI470" s="342">
        <v>2234.31</v>
      </c>
      <c r="AJ470" s="344">
        <f t="shared" si="68"/>
        <v>7.6070810259622867E-2</v>
      </c>
      <c r="AK470" s="342">
        <v>13986.03</v>
      </c>
      <c r="AL470" s="784">
        <f t="shared" si="69"/>
        <v>0.47617771679641285</v>
      </c>
      <c r="AM470" s="350">
        <f>IFERROR(T470/(D470+D419+D368)*90,"0.00")</f>
        <v>28.745905162253244</v>
      </c>
      <c r="AN470" s="350">
        <f>IFERROR(U470/(F470+F419+F368)*90,"0.00")</f>
        <v>25.475421728071861</v>
      </c>
      <c r="AO470" s="350">
        <f>IFERROR(AD470/(E470+E419+E368)*90,"0.00")</f>
        <v>77.034682692528563</v>
      </c>
      <c r="AP470" s="639">
        <f t="shared" si="70"/>
        <v>5.2760877706067633E-2</v>
      </c>
    </row>
    <row r="471" spans="1:42" x14ac:dyDescent="0.2">
      <c r="A471" s="638">
        <v>42644</v>
      </c>
      <c r="B471" s="341" t="s">
        <v>134</v>
      </c>
      <c r="C471" s="351" t="s">
        <v>178</v>
      </c>
      <c r="D471" s="342">
        <v>671892.74056554795</v>
      </c>
      <c r="E471" s="342">
        <v>23764</v>
      </c>
      <c r="F471" s="342">
        <v>648128.74056554795</v>
      </c>
      <c r="G471" s="342">
        <v>449084.63058162632</v>
      </c>
      <c r="H471" s="342">
        <v>295797.84044725634</v>
      </c>
      <c r="I471" s="342">
        <v>153286.7901343703</v>
      </c>
      <c r="J471" s="342">
        <v>18912.90999925138</v>
      </c>
      <c r="K471" s="343">
        <v>430171.7205823753</v>
      </c>
      <c r="L471" s="342">
        <v>237406.2101888709</v>
      </c>
      <c r="M471" s="342">
        <v>5094.5799875259409</v>
      </c>
      <c r="N471" s="354">
        <v>3170</v>
      </c>
      <c r="O471" s="343">
        <v>211.95354591973123</v>
      </c>
      <c r="P471" s="343">
        <v>135.45487393979531</v>
      </c>
      <c r="Q471" s="343">
        <v>141.66707589325762</v>
      </c>
      <c r="R471" s="344">
        <v>0.66838738308680279</v>
      </c>
      <c r="S471" s="344">
        <v>1.0940500887817726</v>
      </c>
      <c r="T471" s="343">
        <v>727371.7</v>
      </c>
      <c r="U471" s="342">
        <v>599261.67999999993</v>
      </c>
      <c r="V471" s="342">
        <v>21086.68</v>
      </c>
      <c r="W471" s="344">
        <f t="shared" si="71"/>
        <v>3.5187766386130352E-2</v>
      </c>
      <c r="X471" s="342">
        <v>22745.079999999998</v>
      </c>
      <c r="Y471" s="344">
        <f t="shared" si="72"/>
        <v>3.7955171770702907E-2</v>
      </c>
      <c r="Z471" s="342">
        <v>15196.23</v>
      </c>
      <c r="AA471" s="344">
        <f t="shared" si="65"/>
        <v>2.5358254177039991E-2</v>
      </c>
      <c r="AB471" s="342">
        <v>27942.17</v>
      </c>
      <c r="AC471" s="344">
        <f t="shared" si="73"/>
        <v>4.6627660223493683E-2</v>
      </c>
      <c r="AD471" s="342">
        <v>128110.01999999999</v>
      </c>
      <c r="AE471" s="342">
        <v>9571.85</v>
      </c>
      <c r="AF471" s="344">
        <f t="shared" si="66"/>
        <v>7.4715857510599101E-2</v>
      </c>
      <c r="AG471" s="342">
        <v>10053.89</v>
      </c>
      <c r="AH471" s="344">
        <f t="shared" si="67"/>
        <v>7.8478560849494838E-2</v>
      </c>
      <c r="AI471" s="342">
        <v>7421.3899999999994</v>
      </c>
      <c r="AJ471" s="344">
        <f t="shared" si="68"/>
        <v>5.7929816887078781E-2</v>
      </c>
      <c r="AK471" s="342">
        <v>60013.740000000005</v>
      </c>
      <c r="AL471" s="784">
        <f t="shared" si="69"/>
        <v>0.46845469230275671</v>
      </c>
      <c r="AM471" s="350">
        <f>IFERROR(T471/(D471+D420+D369)*90,"0.00")</f>
        <v>35.2008344469847</v>
      </c>
      <c r="AN471" s="350">
        <f>IFERROR(U471/(F471+F420+F369)*90,"0.00")</f>
        <v>30.319814960408291</v>
      </c>
      <c r="AO471" s="350">
        <f>IFERROR(AD471/(E471+E420+E369)*90,"0.00")</f>
        <v>142.53593994169219</v>
      </c>
      <c r="AP471" s="639">
        <f t="shared" si="70"/>
        <v>4.4045795413982285E-2</v>
      </c>
    </row>
    <row r="472" spans="1:42" x14ac:dyDescent="0.2">
      <c r="A472" s="638">
        <v>42644</v>
      </c>
      <c r="B472" s="341" t="s">
        <v>135</v>
      </c>
      <c r="C472" s="351" t="s">
        <v>180</v>
      </c>
      <c r="D472" s="342">
        <v>0</v>
      </c>
      <c r="E472" s="342">
        <v>0</v>
      </c>
      <c r="F472" s="342">
        <v>0</v>
      </c>
      <c r="G472" s="342">
        <v>0</v>
      </c>
      <c r="H472" s="342">
        <v>0</v>
      </c>
      <c r="I472" s="342">
        <v>0</v>
      </c>
      <c r="J472" s="342">
        <v>0</v>
      </c>
      <c r="K472" s="343">
        <v>0</v>
      </c>
      <c r="L472" s="342">
        <v>0</v>
      </c>
      <c r="M472" s="342">
        <v>0</v>
      </c>
      <c r="N472" s="354">
        <v>0</v>
      </c>
      <c r="O472" s="343" t="s">
        <v>311</v>
      </c>
      <c r="P472" s="343" t="s">
        <v>311</v>
      </c>
      <c r="Q472" s="343" t="s">
        <v>311</v>
      </c>
      <c r="R472" s="344" t="s">
        <v>312</v>
      </c>
      <c r="S472" s="344" t="s">
        <v>312</v>
      </c>
      <c r="T472" s="343">
        <v>-30</v>
      </c>
      <c r="U472" s="342">
        <v>0</v>
      </c>
      <c r="V472" s="342">
        <v>0</v>
      </c>
      <c r="W472" s="344" t="str">
        <f t="shared" si="71"/>
        <v>0.00%</v>
      </c>
      <c r="X472" s="342">
        <v>0</v>
      </c>
      <c r="Y472" s="344" t="str">
        <f t="shared" si="72"/>
        <v>0.00%</v>
      </c>
      <c r="Z472" s="342">
        <v>0</v>
      </c>
      <c r="AA472" s="344">
        <f t="shared" si="65"/>
        <v>0</v>
      </c>
      <c r="AB472" s="342">
        <v>0</v>
      </c>
      <c r="AC472" s="344" t="str">
        <f t="shared" si="73"/>
        <v>0.00%</v>
      </c>
      <c r="AD472" s="342">
        <v>-30</v>
      </c>
      <c r="AE472" s="342">
        <v>0</v>
      </c>
      <c r="AF472" s="344">
        <f t="shared" si="66"/>
        <v>0</v>
      </c>
      <c r="AG472" s="342">
        <v>0</v>
      </c>
      <c r="AH472" s="344">
        <f t="shared" si="67"/>
        <v>0</v>
      </c>
      <c r="AI472" s="342">
        <v>0</v>
      </c>
      <c r="AJ472" s="344">
        <f t="shared" si="68"/>
        <v>0</v>
      </c>
      <c r="AK472" s="342">
        <v>-30</v>
      </c>
      <c r="AL472" s="784">
        <f t="shared" si="69"/>
        <v>1</v>
      </c>
      <c r="AM472" s="350">
        <v>-9.5385102689888868E-3</v>
      </c>
      <c r="AN472" s="350">
        <v>0</v>
      </c>
      <c r="AO472" s="350">
        <v>-0.15045143788375384</v>
      </c>
      <c r="AP472" s="639" t="str">
        <f t="shared" si="70"/>
        <v>0.00%</v>
      </c>
    </row>
    <row r="473" spans="1:42" x14ac:dyDescent="0.2">
      <c r="A473" s="638">
        <v>42644</v>
      </c>
      <c r="B473" s="341" t="s">
        <v>135</v>
      </c>
      <c r="C473" s="351" t="s">
        <v>181</v>
      </c>
      <c r="D473" s="342">
        <v>110922.02</v>
      </c>
      <c r="E473" s="342">
        <v>7058</v>
      </c>
      <c r="F473" s="342">
        <v>103864.02</v>
      </c>
      <c r="G473" s="342">
        <v>81676.330273568601</v>
      </c>
      <c r="H473" s="342">
        <v>54507.970202386401</v>
      </c>
      <c r="I473" s="342">
        <v>27168.360071182298</v>
      </c>
      <c r="J473" s="342">
        <v>3053.5899982452402</v>
      </c>
      <c r="K473" s="343">
        <v>78622.740275323464</v>
      </c>
      <c r="L473" s="342">
        <v>52939.519489884398</v>
      </c>
      <c r="M473" s="342">
        <v>133.830001831055</v>
      </c>
      <c r="N473" s="354">
        <v>818</v>
      </c>
      <c r="O473" s="343">
        <v>135.60149144254279</v>
      </c>
      <c r="P473" s="343">
        <v>70.719646098147379</v>
      </c>
      <c r="Q473" s="343">
        <v>99.848814515365163</v>
      </c>
      <c r="R473" s="344">
        <v>0.73634009075536755</v>
      </c>
      <c r="S473" s="344">
        <v>1.4905777948187215</v>
      </c>
      <c r="T473" s="343">
        <v>120087.51999999999</v>
      </c>
      <c r="U473" s="342">
        <v>95564.2</v>
      </c>
      <c r="V473" s="342">
        <v>4878.0600000000004</v>
      </c>
      <c r="W473" s="344">
        <f t="shared" si="71"/>
        <v>5.1044847338229178E-2</v>
      </c>
      <c r="X473" s="342">
        <v>3768.01</v>
      </c>
      <c r="Y473" s="344">
        <f t="shared" si="72"/>
        <v>3.9429095832958373E-2</v>
      </c>
      <c r="Z473" s="342">
        <v>5332.83</v>
      </c>
      <c r="AA473" s="344">
        <f t="shared" si="65"/>
        <v>5.5803637763932518E-2</v>
      </c>
      <c r="AB473" s="342">
        <v>8629.2199999999993</v>
      </c>
      <c r="AC473" s="344">
        <f t="shared" si="73"/>
        <v>9.0297621912808351E-2</v>
      </c>
      <c r="AD473" s="342">
        <v>24523.32</v>
      </c>
      <c r="AE473" s="342">
        <v>547.64</v>
      </c>
      <c r="AF473" s="344">
        <f t="shared" si="66"/>
        <v>2.2331397217016293E-2</v>
      </c>
      <c r="AG473" s="342">
        <v>1081.1500000000001</v>
      </c>
      <c r="AH473" s="344">
        <f t="shared" si="67"/>
        <v>4.4086608175402033E-2</v>
      </c>
      <c r="AI473" s="342">
        <v>383.66</v>
      </c>
      <c r="AJ473" s="344">
        <f t="shared" si="68"/>
        <v>1.5644700635966093E-2</v>
      </c>
      <c r="AK473" s="342">
        <v>14369.06</v>
      </c>
      <c r="AL473" s="784">
        <f t="shared" si="69"/>
        <v>0.58593453088733494</v>
      </c>
      <c r="AM473" s="350">
        <v>33.311840663406819</v>
      </c>
      <c r="AN473" s="350">
        <v>29.004601534624818</v>
      </c>
      <c r="AO473" s="350">
        <v>79.067808268252492</v>
      </c>
      <c r="AP473" s="639">
        <f t="shared" si="70"/>
        <v>5.2785828462694459E-2</v>
      </c>
    </row>
    <row r="474" spans="1:42" x14ac:dyDescent="0.2">
      <c r="A474" s="638">
        <v>42644</v>
      </c>
      <c r="B474" s="341" t="s">
        <v>135</v>
      </c>
      <c r="C474" s="351" t="s">
        <v>182</v>
      </c>
      <c r="D474" s="342">
        <v>0</v>
      </c>
      <c r="E474" s="342">
        <v>0</v>
      </c>
      <c r="F474" s="342">
        <v>0</v>
      </c>
      <c r="G474" s="342">
        <v>25</v>
      </c>
      <c r="H474" s="342">
        <v>0</v>
      </c>
      <c r="I474" s="342">
        <v>25</v>
      </c>
      <c r="J474" s="342">
        <v>0</v>
      </c>
      <c r="K474" s="343">
        <v>25</v>
      </c>
      <c r="L474" s="342">
        <v>0</v>
      </c>
      <c r="M474" s="342">
        <v>-25</v>
      </c>
      <c r="N474" s="354">
        <v>0</v>
      </c>
      <c r="O474" s="343" t="s">
        <v>311</v>
      </c>
      <c r="P474" s="343" t="s">
        <v>311</v>
      </c>
      <c r="Q474" s="343" t="s">
        <v>311</v>
      </c>
      <c r="R474" s="344" t="s">
        <v>312</v>
      </c>
      <c r="S474" s="344">
        <v>1</v>
      </c>
      <c r="T474" s="343">
        <v>-108.25</v>
      </c>
      <c r="U474" s="342">
        <v>-108.25</v>
      </c>
      <c r="V474" s="342">
        <v>0</v>
      </c>
      <c r="W474" s="344">
        <v>0</v>
      </c>
      <c r="X474" s="342">
        <v>0</v>
      </c>
      <c r="Y474" s="344">
        <f t="shared" si="72"/>
        <v>0</v>
      </c>
      <c r="Z474" s="342">
        <v>0</v>
      </c>
      <c r="AA474" s="344">
        <f t="shared" si="65"/>
        <v>0</v>
      </c>
      <c r="AB474" s="342">
        <v>-108.25</v>
      </c>
      <c r="AC474" s="344">
        <v>0</v>
      </c>
      <c r="AD474" s="342">
        <v>0</v>
      </c>
      <c r="AE474" s="342">
        <v>0</v>
      </c>
      <c r="AF474" s="344" t="str">
        <f t="shared" si="66"/>
        <v>0.00%</v>
      </c>
      <c r="AG474" s="342">
        <v>0</v>
      </c>
      <c r="AH474" s="344" t="str">
        <f t="shared" si="67"/>
        <v>0.00%</v>
      </c>
      <c r="AI474" s="342">
        <v>0</v>
      </c>
      <c r="AJ474" s="344">
        <f t="shared" si="68"/>
        <v>0</v>
      </c>
      <c r="AK474" s="342">
        <v>0</v>
      </c>
      <c r="AL474" s="784" t="str">
        <f t="shared" si="69"/>
        <v>0.00%</v>
      </c>
      <c r="AM474" s="350" t="s">
        <v>313</v>
      </c>
      <c r="AN474" s="350" t="s">
        <v>313</v>
      </c>
      <c r="AO474" s="350" t="s">
        <v>313</v>
      </c>
      <c r="AP474" s="639">
        <f t="shared" si="70"/>
        <v>0</v>
      </c>
    </row>
    <row r="475" spans="1:42" x14ac:dyDescent="0.2">
      <c r="A475" s="638">
        <v>42644</v>
      </c>
      <c r="B475" s="341" t="s">
        <v>135</v>
      </c>
      <c r="C475" s="351" t="s">
        <v>183</v>
      </c>
      <c r="D475" s="342">
        <v>205176.93001151999</v>
      </c>
      <c r="E475" s="342">
        <v>12748</v>
      </c>
      <c r="F475" s="342">
        <v>192428.93001151999</v>
      </c>
      <c r="G475" s="342">
        <v>128914.74075195901</v>
      </c>
      <c r="H475" s="342">
        <v>68853.960513330996</v>
      </c>
      <c r="I475" s="342">
        <v>60060.780238628402</v>
      </c>
      <c r="J475" s="342">
        <v>6701.25003600121</v>
      </c>
      <c r="K475" s="343">
        <v>122213.49071595819</v>
      </c>
      <c r="L475" s="342">
        <v>101971.168680213</v>
      </c>
      <c r="M475" s="342">
        <v>-76.410002946852998</v>
      </c>
      <c r="N475" s="354">
        <v>1016</v>
      </c>
      <c r="O475" s="343">
        <v>201.94579725543306</v>
      </c>
      <c r="P475" s="343">
        <v>101.65568044710024</v>
      </c>
      <c r="Q475" s="343">
        <v>126.88458735429074</v>
      </c>
      <c r="R475" s="344">
        <v>0.62831011627243505</v>
      </c>
      <c r="S475" s="344">
        <v>1.3347847485721982</v>
      </c>
      <c r="T475" s="343">
        <v>162896.24</v>
      </c>
      <c r="U475" s="342">
        <v>127626.3</v>
      </c>
      <c r="V475" s="342">
        <v>4993.66</v>
      </c>
      <c r="W475" s="344">
        <f t="shared" si="71"/>
        <v>3.9127201838492533E-2</v>
      </c>
      <c r="X475" s="342">
        <v>5578.75</v>
      </c>
      <c r="Y475" s="344">
        <f t="shared" si="72"/>
        <v>4.3711601762332686E-2</v>
      </c>
      <c r="Z475" s="342">
        <v>5103.41</v>
      </c>
      <c r="AA475" s="344">
        <f t="shared" si="65"/>
        <v>3.9987134313225405E-2</v>
      </c>
      <c r="AB475" s="342">
        <v>12850</v>
      </c>
      <c r="AC475" s="344">
        <f t="shared" si="73"/>
        <v>0.10068457676826797</v>
      </c>
      <c r="AD475" s="342">
        <v>35269.94</v>
      </c>
      <c r="AE475" s="342">
        <v>1866.48</v>
      </c>
      <c r="AF475" s="344">
        <f t="shared" si="66"/>
        <v>5.2919851862520885E-2</v>
      </c>
      <c r="AG475" s="342">
        <v>1900.81</v>
      </c>
      <c r="AH475" s="344">
        <f t="shared" si="67"/>
        <v>5.3893201973124985E-2</v>
      </c>
      <c r="AI475" s="342">
        <v>1128.94</v>
      </c>
      <c r="AJ475" s="344">
        <f t="shared" si="68"/>
        <v>3.2008560264066226E-2</v>
      </c>
      <c r="AK475" s="342">
        <v>21200.37</v>
      </c>
      <c r="AL475" s="784">
        <f t="shared" si="69"/>
        <v>0.6010889159437186</v>
      </c>
      <c r="AM475" s="350">
        <v>26.480837137423233</v>
      </c>
      <c r="AN475" s="350">
        <v>22.160427143712372</v>
      </c>
      <c r="AO475" s="350">
        <v>89.910650019985439</v>
      </c>
      <c r="AP475" s="639">
        <f t="shared" si="70"/>
        <v>6.4882931385261453E-2</v>
      </c>
    </row>
    <row r="476" spans="1:42" x14ac:dyDescent="0.2">
      <c r="A476" s="638">
        <v>42644</v>
      </c>
      <c r="B476" s="341" t="s">
        <v>135</v>
      </c>
      <c r="C476" s="351" t="s">
        <v>184</v>
      </c>
      <c r="D476" s="342">
        <v>0</v>
      </c>
      <c r="E476" s="342">
        <v>0</v>
      </c>
      <c r="F476" s="342">
        <v>0</v>
      </c>
      <c r="G476" s="342">
        <v>0</v>
      </c>
      <c r="H476" s="342">
        <v>0</v>
      </c>
      <c r="I476" s="342">
        <v>0</v>
      </c>
      <c r="J476" s="342">
        <v>0</v>
      </c>
      <c r="K476" s="343">
        <v>0</v>
      </c>
      <c r="L476" s="342">
        <v>0</v>
      </c>
      <c r="M476" s="342">
        <v>0</v>
      </c>
      <c r="N476" s="354">
        <v>0</v>
      </c>
      <c r="O476" s="343" t="s">
        <v>311</v>
      </c>
      <c r="P476" s="343" t="s">
        <v>311</v>
      </c>
      <c r="Q476" s="343" t="s">
        <v>311</v>
      </c>
      <c r="R476" s="344" t="s">
        <v>312</v>
      </c>
      <c r="S476" s="344" t="s">
        <v>312</v>
      </c>
      <c r="T476" s="343">
        <v>0</v>
      </c>
      <c r="U476" s="342">
        <v>0</v>
      </c>
      <c r="V476" s="342">
        <v>0</v>
      </c>
      <c r="W476" s="344" t="str">
        <f t="shared" si="71"/>
        <v>0.00%</v>
      </c>
      <c r="X476" s="342">
        <v>0</v>
      </c>
      <c r="Y476" s="344" t="str">
        <f t="shared" si="72"/>
        <v>0.00%</v>
      </c>
      <c r="Z476" s="342">
        <v>0</v>
      </c>
      <c r="AA476" s="344">
        <f t="shared" si="65"/>
        <v>0</v>
      </c>
      <c r="AB476" s="342">
        <v>0</v>
      </c>
      <c r="AC476" s="344" t="str">
        <f t="shared" si="73"/>
        <v>0.00%</v>
      </c>
      <c r="AD476" s="342">
        <v>0</v>
      </c>
      <c r="AE476" s="342">
        <v>0</v>
      </c>
      <c r="AF476" s="344" t="str">
        <f t="shared" si="66"/>
        <v>0.00%</v>
      </c>
      <c r="AG476" s="342">
        <v>0</v>
      </c>
      <c r="AH476" s="344" t="str">
        <f t="shared" si="67"/>
        <v>0.00%</v>
      </c>
      <c r="AI476" s="342">
        <v>0</v>
      </c>
      <c r="AJ476" s="344">
        <f t="shared" si="68"/>
        <v>0</v>
      </c>
      <c r="AK476" s="342">
        <v>0</v>
      </c>
      <c r="AL476" s="784" t="str">
        <f t="shared" si="69"/>
        <v>0.00%</v>
      </c>
      <c r="AM476" s="350">
        <v>0</v>
      </c>
      <c r="AN476" s="350">
        <v>0</v>
      </c>
      <c r="AO476" s="350">
        <v>0</v>
      </c>
      <c r="AP476" s="639" t="str">
        <f t="shared" si="70"/>
        <v>0.00%</v>
      </c>
    </row>
    <row r="477" spans="1:42" x14ac:dyDescent="0.2">
      <c r="A477" s="638">
        <v>42644</v>
      </c>
      <c r="B477" s="341" t="s">
        <v>135</v>
      </c>
      <c r="C477" s="351" t="s">
        <v>185</v>
      </c>
      <c r="D477" s="342">
        <v>145319.580003051</v>
      </c>
      <c r="E477" s="342">
        <v>7300</v>
      </c>
      <c r="F477" s="342">
        <v>138019.580003051</v>
      </c>
      <c r="G477" s="342">
        <v>84599.040445575505</v>
      </c>
      <c r="H477" s="342">
        <v>50464.930335054203</v>
      </c>
      <c r="I477" s="342">
        <v>34134.110110521302</v>
      </c>
      <c r="J477" s="342">
        <v>6025.0600119829196</v>
      </c>
      <c r="K477" s="343">
        <v>78573.980433592587</v>
      </c>
      <c r="L477" s="342">
        <v>73004.999077567802</v>
      </c>
      <c r="M477" s="342">
        <v>-478.56000137329102</v>
      </c>
      <c r="N477" s="354">
        <v>718</v>
      </c>
      <c r="O477" s="343">
        <v>202.39495822151949</v>
      </c>
      <c r="P477" s="343">
        <v>101.38320463350486</v>
      </c>
      <c r="Q477" s="343">
        <v>117.82596162336421</v>
      </c>
      <c r="R477" s="344">
        <v>0.58215858072118942</v>
      </c>
      <c r="S477" s="344">
        <v>1.2670581404524064</v>
      </c>
      <c r="T477" s="343">
        <v>135475.00999999998</v>
      </c>
      <c r="U477" s="342">
        <v>107831.20999999999</v>
      </c>
      <c r="V477" s="342">
        <v>5193.51</v>
      </c>
      <c r="W477" s="344">
        <f t="shared" si="71"/>
        <v>4.8163328594754716E-2</v>
      </c>
      <c r="X477" s="342">
        <v>6107.75</v>
      </c>
      <c r="Y477" s="344">
        <f t="shared" si="72"/>
        <v>5.6641764476166041E-2</v>
      </c>
      <c r="Z477" s="342">
        <v>3593.13</v>
      </c>
      <c r="AA477" s="344">
        <f t="shared" si="65"/>
        <v>3.332179987593574E-2</v>
      </c>
      <c r="AB477" s="342">
        <v>11505.46</v>
      </c>
      <c r="AC477" s="344">
        <f t="shared" si="73"/>
        <v>0.10669879341982716</v>
      </c>
      <c r="AD477" s="342">
        <v>27643.799999999996</v>
      </c>
      <c r="AE477" s="342">
        <v>505.34</v>
      </c>
      <c r="AF477" s="344">
        <f t="shared" si="66"/>
        <v>1.8280410073868283E-2</v>
      </c>
      <c r="AG477" s="342">
        <v>386.22</v>
      </c>
      <c r="AH477" s="344">
        <f t="shared" si="67"/>
        <v>1.3971306405052853E-2</v>
      </c>
      <c r="AI477" s="342">
        <v>282.73</v>
      </c>
      <c r="AJ477" s="344">
        <f t="shared" si="68"/>
        <v>1.0227609807624135E-2</v>
      </c>
      <c r="AK477" s="342">
        <v>16846.48</v>
      </c>
      <c r="AL477" s="784">
        <f t="shared" si="69"/>
        <v>0.6094125988467578</v>
      </c>
      <c r="AM477" s="350">
        <v>28.776814990819314</v>
      </c>
      <c r="AN477" s="350">
        <v>24.30038648520075</v>
      </c>
      <c r="AO477" s="350">
        <v>102.24979450928817</v>
      </c>
      <c r="AP477" s="639">
        <f t="shared" si="70"/>
        <v>8.2769611741812035E-2</v>
      </c>
    </row>
    <row r="478" spans="1:42" x14ac:dyDescent="0.2">
      <c r="A478" s="638">
        <v>42644</v>
      </c>
      <c r="B478" s="341" t="s">
        <v>135</v>
      </c>
      <c r="C478" s="351" t="s">
        <v>179</v>
      </c>
      <c r="D478" s="342">
        <v>108416</v>
      </c>
      <c r="E478" s="342">
        <v>6273</v>
      </c>
      <c r="F478" s="342">
        <v>102143</v>
      </c>
      <c r="G478" s="342">
        <v>67312.930411109701</v>
      </c>
      <c r="H478" s="342">
        <v>35463.750284194903</v>
      </c>
      <c r="I478" s="342">
        <v>31849.180126914802</v>
      </c>
      <c r="J478" s="342">
        <v>3426.7500157356299</v>
      </c>
      <c r="K478" s="343">
        <v>63886.180395374075</v>
      </c>
      <c r="L478" s="342">
        <v>51816.019407272302</v>
      </c>
      <c r="M478" s="342">
        <v>-93.200000762938998</v>
      </c>
      <c r="N478" s="354">
        <v>535</v>
      </c>
      <c r="O478" s="343">
        <v>202.64672897196263</v>
      </c>
      <c r="P478" s="343">
        <v>105.96856185699184</v>
      </c>
      <c r="Q478" s="343">
        <v>125.8185615160929</v>
      </c>
      <c r="R478" s="344">
        <v>0.62087635045666412</v>
      </c>
      <c r="S478" s="344">
        <v>1.2637026675337386</v>
      </c>
      <c r="T478" s="343">
        <v>94882.31</v>
      </c>
      <c r="U478" s="342">
        <v>78655.839999999997</v>
      </c>
      <c r="V478" s="342">
        <v>5750.7</v>
      </c>
      <c r="W478" s="344">
        <f t="shared" si="71"/>
        <v>7.3112180862857742E-2</v>
      </c>
      <c r="X478" s="342">
        <v>3308.36</v>
      </c>
      <c r="Y478" s="344">
        <f t="shared" si="72"/>
        <v>4.2061212492295552E-2</v>
      </c>
      <c r="Z478" s="342">
        <v>4243.4799999999996</v>
      </c>
      <c r="AA478" s="344">
        <f t="shared" si="65"/>
        <v>5.3949967351438873E-2</v>
      </c>
      <c r="AB478" s="342">
        <v>5342.09</v>
      </c>
      <c r="AC478" s="344">
        <f t="shared" si="73"/>
        <v>6.7917270987125689E-2</v>
      </c>
      <c r="AD478" s="342">
        <v>16226.47</v>
      </c>
      <c r="AE478" s="342">
        <v>434.65</v>
      </c>
      <c r="AF478" s="344">
        <f t="shared" si="66"/>
        <v>2.6786479129471782E-2</v>
      </c>
      <c r="AG478" s="342">
        <v>1111.45</v>
      </c>
      <c r="AH478" s="344">
        <f t="shared" si="67"/>
        <v>6.8496105437596724E-2</v>
      </c>
      <c r="AI478" s="342">
        <v>429.02</v>
      </c>
      <c r="AJ478" s="344">
        <f t="shared" si="68"/>
        <v>2.6439515187221867E-2</v>
      </c>
      <c r="AK478" s="342">
        <v>9608.3700000000008</v>
      </c>
      <c r="AL478" s="784">
        <f t="shared" si="69"/>
        <v>0.59214172891577777</v>
      </c>
      <c r="AM478" s="350">
        <v>27.465711955144407</v>
      </c>
      <c r="AN478" s="350">
        <v>24.732589580524564</v>
      </c>
      <c r="AO478" s="350">
        <v>59.151132083113936</v>
      </c>
      <c r="AP478" s="639">
        <f t="shared" si="70"/>
        <v>6.0443777891146938E-2</v>
      </c>
    </row>
    <row r="479" spans="1:42" x14ac:dyDescent="0.2">
      <c r="A479" s="638">
        <v>42644</v>
      </c>
      <c r="B479" s="341" t="s">
        <v>135</v>
      </c>
      <c r="C479" s="351" t="s">
        <v>186</v>
      </c>
      <c r="D479" s="342">
        <v>84703.550003051801</v>
      </c>
      <c r="E479" s="342">
        <v>4286</v>
      </c>
      <c r="F479" s="342">
        <v>80417.550003051801</v>
      </c>
      <c r="G479" s="342">
        <v>51216.860201835603</v>
      </c>
      <c r="H479" s="342">
        <v>29316.390151977499</v>
      </c>
      <c r="I479" s="342">
        <v>21900.470049858101</v>
      </c>
      <c r="J479" s="342">
        <v>3096.2400102615402</v>
      </c>
      <c r="K479" s="343">
        <v>48120.62019157406</v>
      </c>
      <c r="L479" s="342">
        <v>42328.319416642204</v>
      </c>
      <c r="M479" s="342">
        <v>0</v>
      </c>
      <c r="N479" s="354">
        <v>430</v>
      </c>
      <c r="O479" s="343">
        <v>196.9850000070972</v>
      </c>
      <c r="P479" s="343">
        <v>98.547047875371163</v>
      </c>
      <c r="Q479" s="343">
        <v>119.10897721357117</v>
      </c>
      <c r="R479" s="344">
        <v>0.60466013762103599</v>
      </c>
      <c r="S479" s="344">
        <v>1.3039250614789666</v>
      </c>
      <c r="T479" s="343">
        <v>77094.909999999989</v>
      </c>
      <c r="U479" s="342">
        <v>63990.119999999995</v>
      </c>
      <c r="V479" s="342">
        <v>2337.59</v>
      </c>
      <c r="W479" s="344">
        <f t="shared" si="71"/>
        <v>3.6530483143335256E-2</v>
      </c>
      <c r="X479" s="342">
        <v>3262.92</v>
      </c>
      <c r="Y479" s="344">
        <f t="shared" si="72"/>
        <v>5.0990996735120989E-2</v>
      </c>
      <c r="Z479" s="342">
        <v>2514.42</v>
      </c>
      <c r="AA479" s="344">
        <f t="shared" si="65"/>
        <v>3.929387849249228E-2</v>
      </c>
      <c r="AB479" s="342">
        <v>5219.4399999999996</v>
      </c>
      <c r="AC479" s="344">
        <f t="shared" si="73"/>
        <v>8.1566341804015993E-2</v>
      </c>
      <c r="AD479" s="342">
        <v>13104.789999999999</v>
      </c>
      <c r="AE479" s="342">
        <v>695.17</v>
      </c>
      <c r="AF479" s="344">
        <f t="shared" si="66"/>
        <v>5.3047015633215032E-2</v>
      </c>
      <c r="AG479" s="342">
        <v>359.36</v>
      </c>
      <c r="AH479" s="344">
        <f t="shared" si="67"/>
        <v>2.7422034233284168E-2</v>
      </c>
      <c r="AI479" s="342">
        <v>1035.07</v>
      </c>
      <c r="AJ479" s="344">
        <f t="shared" si="68"/>
        <v>7.8984096654734645E-2</v>
      </c>
      <c r="AK479" s="342">
        <v>6293.8</v>
      </c>
      <c r="AL479" s="784">
        <f t="shared" si="69"/>
        <v>0.48026713896216577</v>
      </c>
      <c r="AM479" s="350">
        <v>22.922068179894882</v>
      </c>
      <c r="AN479" s="350">
        <v>20.308779905759948</v>
      </c>
      <c r="AO479" s="350">
        <v>66.589380081300803</v>
      </c>
      <c r="AP479" s="639">
        <f t="shared" si="70"/>
        <v>7.3067213261479053E-2</v>
      </c>
    </row>
    <row r="480" spans="1:42" x14ac:dyDescent="0.2">
      <c r="A480" s="638">
        <v>42644</v>
      </c>
      <c r="B480" s="341" t="s">
        <v>135</v>
      </c>
      <c r="C480" s="351" t="s">
        <v>187</v>
      </c>
      <c r="D480" s="342">
        <v>117681.51</v>
      </c>
      <c r="E480" s="342">
        <v>6454</v>
      </c>
      <c r="F480" s="342">
        <v>111227.51</v>
      </c>
      <c r="G480" s="342">
        <v>68481.290465416401</v>
      </c>
      <c r="H480" s="342">
        <v>40623.600350560599</v>
      </c>
      <c r="I480" s="342">
        <v>27857.690114855799</v>
      </c>
      <c r="J480" s="342">
        <v>4672.3700236082104</v>
      </c>
      <c r="K480" s="343">
        <v>63808.920441808194</v>
      </c>
      <c r="L480" s="342">
        <v>58138.899242592997</v>
      </c>
      <c r="M480" s="342">
        <v>-69</v>
      </c>
      <c r="N480" s="354">
        <v>556</v>
      </c>
      <c r="O480" s="343">
        <v>211.65739208633093</v>
      </c>
      <c r="P480" s="343">
        <v>107.21512726152338</v>
      </c>
      <c r="Q480" s="343">
        <v>123.16778860686404</v>
      </c>
      <c r="R480" s="344">
        <v>0.58192056224819344</v>
      </c>
      <c r="S480" s="344">
        <v>1.2464913885001419</v>
      </c>
      <c r="T480" s="343">
        <v>94302.82</v>
      </c>
      <c r="U480" s="342">
        <v>79430.680000000008</v>
      </c>
      <c r="V480" s="342">
        <v>1739.06</v>
      </c>
      <c r="W480" s="344">
        <f t="shared" si="71"/>
        <v>2.1894059071381484E-2</v>
      </c>
      <c r="X480" s="342">
        <v>2530.52</v>
      </c>
      <c r="Y480" s="344">
        <f t="shared" si="72"/>
        <v>3.1858219015624689E-2</v>
      </c>
      <c r="Z480" s="342">
        <v>3074.8</v>
      </c>
      <c r="AA480" s="344">
        <f t="shared" si="65"/>
        <v>3.871048315336089E-2</v>
      </c>
      <c r="AB480" s="342">
        <v>3807.28</v>
      </c>
      <c r="AC480" s="344">
        <f t="shared" si="73"/>
        <v>4.7932108852649882E-2</v>
      </c>
      <c r="AD480" s="342">
        <v>14872.140000000001</v>
      </c>
      <c r="AE480" s="342">
        <v>466.86</v>
      </c>
      <c r="AF480" s="344">
        <f t="shared" si="66"/>
        <v>3.1391581843635143E-2</v>
      </c>
      <c r="AG480" s="342">
        <v>-277.07</v>
      </c>
      <c r="AH480" s="344">
        <v>0</v>
      </c>
      <c r="AI480" s="342">
        <v>499.92</v>
      </c>
      <c r="AJ480" s="344">
        <f t="shared" si="68"/>
        <v>3.3614530255901304E-2</v>
      </c>
      <c r="AK480" s="342">
        <v>8655.0400000000009</v>
      </c>
      <c r="AL480" s="784">
        <f t="shared" si="69"/>
        <v>0.5819633220235958</v>
      </c>
      <c r="AM480" s="350">
        <v>25.403791471995341</v>
      </c>
      <c r="AN480" s="350">
        <v>22.938209029709892</v>
      </c>
      <c r="AO480" s="350">
        <v>59.644962345706524</v>
      </c>
      <c r="AP480" s="639">
        <f t="shared" si="70"/>
        <v>7.8380200840784162E-2</v>
      </c>
    </row>
    <row r="481" spans="1:42" x14ac:dyDescent="0.2">
      <c r="A481" s="638">
        <v>42644</v>
      </c>
      <c r="B481" s="341" t="s">
        <v>135</v>
      </c>
      <c r="C481" s="351" t="s">
        <v>188</v>
      </c>
      <c r="D481" s="342">
        <v>134562.5</v>
      </c>
      <c r="E481" s="342">
        <v>8079</v>
      </c>
      <c r="F481" s="342">
        <v>126483.5</v>
      </c>
      <c r="G481" s="342">
        <v>75740.120600966693</v>
      </c>
      <c r="H481" s="342">
        <v>41016.030447749399</v>
      </c>
      <c r="I481" s="342">
        <v>34724.090153217301</v>
      </c>
      <c r="J481" s="342">
        <v>4343.74001288414</v>
      </c>
      <c r="K481" s="343">
        <v>71396.380588082568</v>
      </c>
      <c r="L481" s="342">
        <v>54399.669302435599</v>
      </c>
      <c r="M481" s="342">
        <v>22.830000042915</v>
      </c>
      <c r="N481" s="354">
        <v>762</v>
      </c>
      <c r="O481" s="343">
        <v>176.59120734908137</v>
      </c>
      <c r="P481" s="343">
        <v>105.17060458992322</v>
      </c>
      <c r="Q481" s="343">
        <v>99.396483728302769</v>
      </c>
      <c r="R481" s="344">
        <v>0.56286202025799692</v>
      </c>
      <c r="S481" s="344">
        <v>0.99925932911249771</v>
      </c>
      <c r="T481" s="343">
        <v>123451.68</v>
      </c>
      <c r="U481" s="342">
        <v>98824.12999999999</v>
      </c>
      <c r="V481" s="342">
        <v>1479.77</v>
      </c>
      <c r="W481" s="344">
        <f t="shared" si="71"/>
        <v>1.4973772093920788E-2</v>
      </c>
      <c r="X481" s="342">
        <v>3449.84</v>
      </c>
      <c r="Y481" s="344">
        <f t="shared" si="72"/>
        <v>3.4908883083514121E-2</v>
      </c>
      <c r="Z481" s="342">
        <v>3271.8</v>
      </c>
      <c r="AA481" s="344">
        <f t="shared" si="65"/>
        <v>3.3107298794332926E-2</v>
      </c>
      <c r="AB481" s="342">
        <v>6826.4</v>
      </c>
      <c r="AC481" s="344">
        <f t="shared" si="73"/>
        <v>6.9076246863999713E-2</v>
      </c>
      <c r="AD481" s="342">
        <v>24627.55</v>
      </c>
      <c r="AE481" s="342">
        <v>1114.07</v>
      </c>
      <c r="AF481" s="344">
        <f t="shared" si="66"/>
        <v>4.5236736906432026E-2</v>
      </c>
      <c r="AG481" s="342">
        <v>1239.9000000000001</v>
      </c>
      <c r="AH481" s="344">
        <f t="shared" si="67"/>
        <v>5.0346055535365884E-2</v>
      </c>
      <c r="AI481" s="342">
        <v>1898.65</v>
      </c>
      <c r="AJ481" s="344">
        <f t="shared" si="68"/>
        <v>7.709455467555644E-2</v>
      </c>
      <c r="AK481" s="342">
        <v>12725.08</v>
      </c>
      <c r="AL481" s="784">
        <f t="shared" si="69"/>
        <v>0.51670101167188776</v>
      </c>
      <c r="AM481" s="350">
        <v>30.127486300299271</v>
      </c>
      <c r="AN481" s="350">
        <v>26.129597658042311</v>
      </c>
      <c r="AO481" s="350">
        <v>78.042304848420827</v>
      </c>
      <c r="AP481" s="639">
        <f t="shared" si="70"/>
        <v>5.4201896369817225E-2</v>
      </c>
    </row>
    <row r="482" spans="1:42" x14ac:dyDescent="0.2">
      <c r="A482" s="638">
        <v>42644</v>
      </c>
      <c r="B482" s="341" t="s">
        <v>136</v>
      </c>
      <c r="C482" s="351" t="s">
        <v>189</v>
      </c>
      <c r="D482" s="342">
        <v>122436.630004406</v>
      </c>
      <c r="E482" s="342">
        <v>6774</v>
      </c>
      <c r="F482" s="342">
        <v>115662.630004406</v>
      </c>
      <c r="G482" s="342">
        <v>70857.329862117796</v>
      </c>
      <c r="H482" s="342">
        <v>34527.339844703703</v>
      </c>
      <c r="I482" s="342">
        <v>36329.9900174141</v>
      </c>
      <c r="J482" s="342">
        <v>2643.8000087738001</v>
      </c>
      <c r="K482" s="343">
        <v>68213.529853343993</v>
      </c>
      <c r="L482" s="342">
        <v>50440.160167465001</v>
      </c>
      <c r="M482" s="342">
        <v>-149.86000061035199</v>
      </c>
      <c r="N482" s="354">
        <v>553</v>
      </c>
      <c r="O482" s="343">
        <v>221.40439422134901</v>
      </c>
      <c r="P482" s="343">
        <v>130.46352592685597</v>
      </c>
      <c r="Q482" s="343">
        <v>128.13260372896528</v>
      </c>
      <c r="R482" s="344">
        <v>0.57872656132048006</v>
      </c>
      <c r="S482" s="344">
        <v>1.0194928161129941</v>
      </c>
      <c r="T482" s="343">
        <v>120348.98999999999</v>
      </c>
      <c r="U482" s="342">
        <v>96677.999999999985</v>
      </c>
      <c r="V482" s="342">
        <v>4980.6000000000004</v>
      </c>
      <c r="W482" s="344">
        <f t="shared" si="71"/>
        <v>5.151740830385404E-2</v>
      </c>
      <c r="X482" s="342">
        <v>9076.14</v>
      </c>
      <c r="Y482" s="344">
        <f t="shared" si="72"/>
        <v>9.3880096816235339E-2</v>
      </c>
      <c r="Z482" s="342">
        <v>7554.17</v>
      </c>
      <c r="AA482" s="344">
        <f t="shared" si="65"/>
        <v>7.813742526738246E-2</v>
      </c>
      <c r="AB482" s="342">
        <v>3882.03</v>
      </c>
      <c r="AC482" s="344">
        <f t="shared" si="73"/>
        <v>4.0154223297958182E-2</v>
      </c>
      <c r="AD482" s="342">
        <v>23670.989999999998</v>
      </c>
      <c r="AE482" s="342">
        <v>1937.42</v>
      </c>
      <c r="AF482" s="344">
        <f t="shared" si="66"/>
        <v>8.1847865256163777E-2</v>
      </c>
      <c r="AG482" s="342">
        <v>400.69</v>
      </c>
      <c r="AH482" s="344">
        <f t="shared" si="67"/>
        <v>1.6927471136610681E-2</v>
      </c>
      <c r="AI482" s="342">
        <v>426.89</v>
      </c>
      <c r="AJ482" s="344">
        <f t="shared" si="68"/>
        <v>1.8034311196954585E-2</v>
      </c>
      <c r="AK482" s="342">
        <v>13506.15</v>
      </c>
      <c r="AL482" s="784">
        <f t="shared" si="69"/>
        <v>0.57057816339747514</v>
      </c>
      <c r="AM482" s="350">
        <v>31.864181927151172</v>
      </c>
      <c r="AN482" s="350">
        <v>27.249590895251011</v>
      </c>
      <c r="AO482" s="350">
        <v>103.33668509895226</v>
      </c>
      <c r="AP482" s="639">
        <f t="shared" si="70"/>
        <v>3.6644968839395234E-2</v>
      </c>
    </row>
    <row r="483" spans="1:42" x14ac:dyDescent="0.2">
      <c r="A483" s="638">
        <v>42644</v>
      </c>
      <c r="B483" s="341" t="s">
        <v>136</v>
      </c>
      <c r="C483" s="351" t="s">
        <v>190</v>
      </c>
      <c r="D483" s="342">
        <v>165719.79000509001</v>
      </c>
      <c r="E483" s="342">
        <v>10605</v>
      </c>
      <c r="F483" s="342">
        <v>155114.79000509001</v>
      </c>
      <c r="G483" s="342">
        <v>102832.86015897999</v>
      </c>
      <c r="H483" s="342">
        <v>50633.810065567501</v>
      </c>
      <c r="I483" s="342">
        <v>52199.050093412399</v>
      </c>
      <c r="J483" s="342">
        <v>4172.5000181198102</v>
      </c>
      <c r="K483" s="343">
        <v>98660.360140860081</v>
      </c>
      <c r="L483" s="342">
        <v>64043.370095977603</v>
      </c>
      <c r="M483" s="342">
        <v>-115.659996032715</v>
      </c>
      <c r="N483" s="354">
        <v>724</v>
      </c>
      <c r="O483" s="343">
        <v>228.89473757609116</v>
      </c>
      <c r="P483" s="343">
        <v>140.59679544909545</v>
      </c>
      <c r="Q483" s="343">
        <v>142.03433723616007</v>
      </c>
      <c r="R483" s="344">
        <v>0.62052251065380559</v>
      </c>
      <c r="S483" s="344">
        <v>1.0534040433075813</v>
      </c>
      <c r="T483" s="343">
        <v>159377.12</v>
      </c>
      <c r="U483" s="342">
        <v>120244.53</v>
      </c>
      <c r="V483" s="342">
        <v>6352.08</v>
      </c>
      <c r="W483" s="344">
        <f t="shared" si="71"/>
        <v>5.2826353098972566E-2</v>
      </c>
      <c r="X483" s="342">
        <v>8528.9599999999991</v>
      </c>
      <c r="Y483" s="344">
        <f t="shared" si="72"/>
        <v>7.0930128796711164E-2</v>
      </c>
      <c r="Z483" s="342">
        <v>10922.68</v>
      </c>
      <c r="AA483" s="344">
        <f t="shared" si="65"/>
        <v>9.0837229768372829E-2</v>
      </c>
      <c r="AB483" s="342">
        <v>4254.84</v>
      </c>
      <c r="AC483" s="344">
        <f t="shared" si="73"/>
        <v>3.5384894431372473E-2</v>
      </c>
      <c r="AD483" s="342">
        <v>39132.589999999997</v>
      </c>
      <c r="AE483" s="342">
        <v>1061.73</v>
      </c>
      <c r="AF483" s="344">
        <f t="shared" si="66"/>
        <v>2.7131605651453179E-2</v>
      </c>
      <c r="AG483" s="342">
        <v>1318.85</v>
      </c>
      <c r="AH483" s="344">
        <f t="shared" si="67"/>
        <v>3.3702088208319457E-2</v>
      </c>
      <c r="AI483" s="342">
        <v>2595.44</v>
      </c>
      <c r="AJ483" s="344">
        <f t="shared" si="68"/>
        <v>6.6324258118361193E-2</v>
      </c>
      <c r="AK483" s="342">
        <v>24254.86</v>
      </c>
      <c r="AL483" s="784">
        <f t="shared" si="69"/>
        <v>0.61981228433896152</v>
      </c>
      <c r="AM483" s="350">
        <v>34.363838607869937</v>
      </c>
      <c r="AN483" s="350">
        <v>27.631706080017786</v>
      </c>
      <c r="AO483" s="350">
        <v>136.71039127396941</v>
      </c>
      <c r="AP483" s="639">
        <f t="shared" si="70"/>
        <v>4.0990419117164632E-2</v>
      </c>
    </row>
    <row r="484" spans="1:42" x14ac:dyDescent="0.2">
      <c r="A484" s="638">
        <v>42644</v>
      </c>
      <c r="B484" s="341" t="s">
        <v>136</v>
      </c>
      <c r="C484" s="351" t="s">
        <v>191</v>
      </c>
      <c r="D484" s="342">
        <v>173597.720004367</v>
      </c>
      <c r="E484" s="342">
        <v>5996</v>
      </c>
      <c r="F484" s="342">
        <v>167601.720004367</v>
      </c>
      <c r="G484" s="342">
        <v>99982.2799363136</v>
      </c>
      <c r="H484" s="342">
        <v>59258.239898204803</v>
      </c>
      <c r="I484" s="342">
        <v>40724.040038108797</v>
      </c>
      <c r="J484" s="342">
        <v>4611.7199863195401</v>
      </c>
      <c r="K484" s="343">
        <v>95370.559949994058</v>
      </c>
      <c r="L484" s="342">
        <v>71934.410100936904</v>
      </c>
      <c r="M484" s="342">
        <v>0</v>
      </c>
      <c r="N484" s="354">
        <v>722</v>
      </c>
      <c r="O484" s="343">
        <v>240.44005540771053</v>
      </c>
      <c r="P484" s="343">
        <v>140.8079084535043</v>
      </c>
      <c r="Q484" s="343">
        <v>138.47961210015734</v>
      </c>
      <c r="R484" s="344">
        <v>0.57594235646527192</v>
      </c>
      <c r="S484" s="344">
        <v>1.0301972386202645</v>
      </c>
      <c r="T484" s="343">
        <v>199027.5</v>
      </c>
      <c r="U484" s="342">
        <v>160427.29</v>
      </c>
      <c r="V484" s="342">
        <v>10430.799999999999</v>
      </c>
      <c r="W484" s="344">
        <f t="shared" si="71"/>
        <v>6.5018863062512616E-2</v>
      </c>
      <c r="X484" s="342">
        <v>16108.76</v>
      </c>
      <c r="Y484" s="344">
        <f t="shared" si="72"/>
        <v>0.10041159456100018</v>
      </c>
      <c r="Z484" s="342">
        <v>18649.89</v>
      </c>
      <c r="AA484" s="344">
        <f t="shared" si="65"/>
        <v>0.11625135598812396</v>
      </c>
      <c r="AB484" s="342">
        <v>2070.48</v>
      </c>
      <c r="AC484" s="344">
        <f t="shared" si="73"/>
        <v>1.290603363056248E-2</v>
      </c>
      <c r="AD484" s="342">
        <v>38600.21</v>
      </c>
      <c r="AE484" s="342">
        <v>2087.4899999999998</v>
      </c>
      <c r="AF484" s="344">
        <f t="shared" si="66"/>
        <v>5.4079757597173692E-2</v>
      </c>
      <c r="AG484" s="342">
        <v>1721.95</v>
      </c>
      <c r="AH484" s="344">
        <f t="shared" si="67"/>
        <v>4.4609860930808411E-2</v>
      </c>
      <c r="AI484" s="342">
        <v>1686.15</v>
      </c>
      <c r="AJ484" s="344">
        <f t="shared" si="68"/>
        <v>4.3682404836657626E-2</v>
      </c>
      <c r="AK484" s="342">
        <v>23221.439999999999</v>
      </c>
      <c r="AL484" s="784">
        <f t="shared" si="69"/>
        <v>0.60158843695409947</v>
      </c>
      <c r="AM484" s="350">
        <v>38.154074642044812</v>
      </c>
      <c r="AN484" s="350">
        <v>32.281655138002158</v>
      </c>
      <c r="AO484" s="350">
        <v>156.40047217072373</v>
      </c>
      <c r="AP484" s="639">
        <f t="shared" si="70"/>
        <v>4.5362677948418258E-2</v>
      </c>
    </row>
    <row r="485" spans="1:42" x14ac:dyDescent="0.2">
      <c r="A485" s="638">
        <v>42644</v>
      </c>
      <c r="B485" s="341" t="s">
        <v>136</v>
      </c>
      <c r="C485" s="351" t="s">
        <v>192</v>
      </c>
      <c r="D485" s="342">
        <v>215211.17000993501</v>
      </c>
      <c r="E485" s="342">
        <v>11810</v>
      </c>
      <c r="F485" s="342">
        <v>203401.17000993501</v>
      </c>
      <c r="G485" s="342">
        <v>135545.529862175</v>
      </c>
      <c r="H485" s="342">
        <v>78917.859783897205</v>
      </c>
      <c r="I485" s="342">
        <v>56627.670078277602</v>
      </c>
      <c r="J485" s="342">
        <v>6623.3900330066699</v>
      </c>
      <c r="K485" s="343">
        <v>128922.13982916815</v>
      </c>
      <c r="L485" s="342">
        <v>74637.030222168207</v>
      </c>
      <c r="M485" s="342">
        <v>145.27000045776401</v>
      </c>
      <c r="N485" s="354">
        <v>1507</v>
      </c>
      <c r="O485" s="343">
        <v>142.80767751156935</v>
      </c>
      <c r="P485" s="343">
        <v>93.184386056608517</v>
      </c>
      <c r="Q485" s="343">
        <v>89.943948150082832</v>
      </c>
      <c r="R485" s="344">
        <v>0.62982571887842764</v>
      </c>
      <c r="S485" s="344">
        <v>1.0130043262134525</v>
      </c>
      <c r="T485" s="343">
        <v>237884.74000000005</v>
      </c>
      <c r="U485" s="342">
        <v>174991.44000000003</v>
      </c>
      <c r="V485" s="342">
        <v>10031.17</v>
      </c>
      <c r="W485" s="344">
        <f t="shared" si="71"/>
        <v>5.7323775380098585E-2</v>
      </c>
      <c r="X485" s="342">
        <v>11653.1</v>
      </c>
      <c r="Y485" s="344">
        <f t="shared" si="72"/>
        <v>6.659240017683149E-2</v>
      </c>
      <c r="Z485" s="342">
        <v>11435.28</v>
      </c>
      <c r="AA485" s="344">
        <f t="shared" si="65"/>
        <v>6.5347653576654938E-2</v>
      </c>
      <c r="AB485" s="342">
        <v>7780.47</v>
      </c>
      <c r="AC485" s="344">
        <f t="shared" si="73"/>
        <v>4.4462003398566229E-2</v>
      </c>
      <c r="AD485" s="342">
        <v>62893.3</v>
      </c>
      <c r="AE485" s="342">
        <v>3293.66</v>
      </c>
      <c r="AF485" s="344">
        <f t="shared" si="66"/>
        <v>5.2369012279527387E-2</v>
      </c>
      <c r="AG485" s="342">
        <v>3975.57</v>
      </c>
      <c r="AH485" s="344">
        <f t="shared" si="67"/>
        <v>6.3211343656637511E-2</v>
      </c>
      <c r="AI485" s="342">
        <v>2952.85</v>
      </c>
      <c r="AJ485" s="344">
        <f t="shared" si="68"/>
        <v>4.695015208297227E-2</v>
      </c>
      <c r="AK485" s="342">
        <v>35109.83</v>
      </c>
      <c r="AL485" s="784">
        <f t="shared" si="69"/>
        <v>0.55824435989207122</v>
      </c>
      <c r="AM485" s="350">
        <v>34.779882632156777</v>
      </c>
      <c r="AN485" s="350">
        <v>27.631002489483944</v>
      </c>
      <c r="AO485" s="350">
        <v>124.15601763505956</v>
      </c>
      <c r="AP485" s="639">
        <f t="shared" si="70"/>
        <v>4.7165444278219532E-2</v>
      </c>
    </row>
    <row r="486" spans="1:42" x14ac:dyDescent="0.2">
      <c r="A486" s="638">
        <v>42644</v>
      </c>
      <c r="B486" s="341" t="s">
        <v>136</v>
      </c>
      <c r="C486" s="351" t="s">
        <v>193</v>
      </c>
      <c r="D486" s="342">
        <v>54115.720002898903</v>
      </c>
      <c r="E486" s="342">
        <v>2360</v>
      </c>
      <c r="F486" s="342">
        <v>51755.720002898903</v>
      </c>
      <c r="G486" s="342">
        <v>33896.249826013998</v>
      </c>
      <c r="H486" s="342">
        <v>20517.879837691798</v>
      </c>
      <c r="I486" s="342">
        <v>13378.3699883223</v>
      </c>
      <c r="J486" s="342">
        <v>1759.8199949264499</v>
      </c>
      <c r="K486" s="343">
        <v>32136.429831087651</v>
      </c>
      <c r="L486" s="342">
        <v>29043.350090026899</v>
      </c>
      <c r="M486" s="342">
        <v>31</v>
      </c>
      <c r="N486" s="354">
        <v>221</v>
      </c>
      <c r="O486" s="343">
        <v>244.86751132533439</v>
      </c>
      <c r="P486" s="343">
        <v>113.30936612159277</v>
      </c>
      <c r="Q486" s="343">
        <v>153.37669604531268</v>
      </c>
      <c r="R486" s="344">
        <v>0.62636605082956165</v>
      </c>
      <c r="S486" s="344">
        <v>1.4559275454374569</v>
      </c>
      <c r="T486" s="343">
        <v>47074.770000000004</v>
      </c>
      <c r="U486" s="342">
        <v>44332.01</v>
      </c>
      <c r="V486" s="342">
        <v>2640.89</v>
      </c>
      <c r="W486" s="344">
        <f t="shared" si="71"/>
        <v>5.9570725532183171E-2</v>
      </c>
      <c r="X486" s="342">
        <v>4196.4799999999996</v>
      </c>
      <c r="Y486" s="344">
        <f t="shared" si="72"/>
        <v>9.4660269182471071E-2</v>
      </c>
      <c r="Z486" s="342">
        <v>4114.25</v>
      </c>
      <c r="AA486" s="344">
        <f t="shared" si="65"/>
        <v>9.2805401785301403E-2</v>
      </c>
      <c r="AB486" s="342">
        <v>17.63</v>
      </c>
      <c r="AC486" s="344">
        <f t="shared" si="73"/>
        <v>3.9768104356197699E-4</v>
      </c>
      <c r="AD486" s="342">
        <v>2742.76</v>
      </c>
      <c r="AE486" s="342">
        <v>237.79</v>
      </c>
      <c r="AF486" s="344">
        <f t="shared" si="66"/>
        <v>8.66973413641733E-2</v>
      </c>
      <c r="AG486" s="342">
        <v>-138.59</v>
      </c>
      <c r="AH486" s="344">
        <v>0</v>
      </c>
      <c r="AI486" s="342">
        <v>-14.89</v>
      </c>
      <c r="AJ486" s="344">
        <v>0</v>
      </c>
      <c r="AK486" s="342">
        <v>524.98</v>
      </c>
      <c r="AL486" s="784">
        <f t="shared" si="69"/>
        <v>0.19140573728652888</v>
      </c>
      <c r="AM486" s="350">
        <v>27.096957212240646</v>
      </c>
      <c r="AN486" s="350">
        <v>27.144183386771815</v>
      </c>
      <c r="AO486" s="350">
        <v>26.355797565663039</v>
      </c>
      <c r="AP486" s="639">
        <f t="shared" si="70"/>
        <v>7.0276506479058504E-2</v>
      </c>
    </row>
    <row r="487" spans="1:42" x14ac:dyDescent="0.2">
      <c r="A487" s="638">
        <v>42644</v>
      </c>
      <c r="B487" s="341" t="s">
        <v>136</v>
      </c>
      <c r="C487" s="351" t="s">
        <v>194</v>
      </c>
      <c r="D487" s="342">
        <v>101903.350000152</v>
      </c>
      <c r="E487" s="342">
        <v>6208.0099999997801</v>
      </c>
      <c r="F487" s="342">
        <v>95695.340000152602</v>
      </c>
      <c r="G487" s="342">
        <v>59852.989865595497</v>
      </c>
      <c r="H487" s="342">
        <v>30856.5698729549</v>
      </c>
      <c r="I487" s="342">
        <v>28996.4199926406</v>
      </c>
      <c r="J487" s="342">
        <v>3447.4000043869</v>
      </c>
      <c r="K487" s="343">
        <v>56405.589861208602</v>
      </c>
      <c r="L487" s="342">
        <v>46733.380014039598</v>
      </c>
      <c r="M487" s="342">
        <v>267.11000061035202</v>
      </c>
      <c r="N487" s="354">
        <v>432</v>
      </c>
      <c r="O487" s="343">
        <v>235.88738425961199</v>
      </c>
      <c r="P487" s="343">
        <v>127.08995367014451</v>
      </c>
      <c r="Q487" s="343">
        <v>138.54858765184144</v>
      </c>
      <c r="R487" s="344">
        <v>0.58735056173821576</v>
      </c>
      <c r="S487" s="344">
        <v>1.1631999769812946</v>
      </c>
      <c r="T487" s="343">
        <v>114002.23999999999</v>
      </c>
      <c r="U487" s="342">
        <v>92792.79</v>
      </c>
      <c r="V487" s="342">
        <v>8548.4500000000007</v>
      </c>
      <c r="W487" s="344">
        <f t="shared" si="71"/>
        <v>9.2124075588200349E-2</v>
      </c>
      <c r="X487" s="342">
        <v>11312.2</v>
      </c>
      <c r="Y487" s="344">
        <f t="shared" si="72"/>
        <v>0.12190817842636267</v>
      </c>
      <c r="Z487" s="342">
        <v>9223.75</v>
      </c>
      <c r="AA487" s="344">
        <f t="shared" si="65"/>
        <v>9.9401580661600972E-2</v>
      </c>
      <c r="AB487" s="342">
        <v>2128.71</v>
      </c>
      <c r="AC487" s="344">
        <f t="shared" si="73"/>
        <v>2.2940467680732525E-2</v>
      </c>
      <c r="AD487" s="342">
        <v>21209.45</v>
      </c>
      <c r="AE487" s="342">
        <v>1347.13</v>
      </c>
      <c r="AF487" s="344">
        <f t="shared" si="66"/>
        <v>6.3515555566033069E-2</v>
      </c>
      <c r="AG487" s="342">
        <v>1240.1099999999999</v>
      </c>
      <c r="AH487" s="344">
        <f t="shared" si="67"/>
        <v>5.8469691576160616E-2</v>
      </c>
      <c r="AI487" s="342">
        <v>736.44</v>
      </c>
      <c r="AJ487" s="344">
        <f t="shared" si="68"/>
        <v>3.4722258238662485E-2</v>
      </c>
      <c r="AK487" s="342">
        <v>12665.73</v>
      </c>
      <c r="AL487" s="784">
        <f t="shared" si="69"/>
        <v>0.59717390125627956</v>
      </c>
      <c r="AM487" s="350">
        <v>33.852200828908146</v>
      </c>
      <c r="AN487" s="350">
        <v>29.396419481994588</v>
      </c>
      <c r="AO487" s="350">
        <v>100.49749894835384</v>
      </c>
      <c r="AP487" s="639">
        <f t="shared" si="70"/>
        <v>6.2790900242669312E-2</v>
      </c>
    </row>
    <row r="488" spans="1:42" x14ac:dyDescent="0.2">
      <c r="A488" s="638">
        <v>42644</v>
      </c>
      <c r="B488" s="341" t="s">
        <v>136</v>
      </c>
      <c r="C488" s="351" t="s">
        <v>195</v>
      </c>
      <c r="D488" s="342">
        <v>100716.910001526</v>
      </c>
      <c r="E488" s="342">
        <v>3535</v>
      </c>
      <c r="F488" s="342">
        <v>97181.910001525699</v>
      </c>
      <c r="G488" s="342">
        <v>55156.149947881699</v>
      </c>
      <c r="H488" s="342">
        <v>33230.939922571197</v>
      </c>
      <c r="I488" s="342">
        <v>21925.210025310502</v>
      </c>
      <c r="J488" s="342">
        <v>1570.0799964666401</v>
      </c>
      <c r="K488" s="343">
        <v>53586.069951415062</v>
      </c>
      <c r="L488" s="342">
        <v>42684.860148668296</v>
      </c>
      <c r="M488" s="342">
        <v>0</v>
      </c>
      <c r="N488" s="354">
        <v>506</v>
      </c>
      <c r="O488" s="343">
        <v>199.04527668285712</v>
      </c>
      <c r="P488" s="343">
        <v>114.68784555900672</v>
      </c>
      <c r="Q488" s="343">
        <v>109.00424890885711</v>
      </c>
      <c r="R488" s="344">
        <v>0.54763544619315829</v>
      </c>
      <c r="S488" s="344">
        <v>0.97687257614584866</v>
      </c>
      <c r="T488" s="343">
        <v>99742.439999999988</v>
      </c>
      <c r="U488" s="342">
        <v>85449.37999999999</v>
      </c>
      <c r="V488" s="342">
        <v>5792.55</v>
      </c>
      <c r="W488" s="344">
        <f t="shared" si="71"/>
        <v>6.7789257218718271E-2</v>
      </c>
      <c r="X488" s="342">
        <v>7332.28</v>
      </c>
      <c r="Y488" s="344">
        <f t="shared" si="72"/>
        <v>8.5808463443503055E-2</v>
      </c>
      <c r="Z488" s="342">
        <v>5852.78</v>
      </c>
      <c r="AA488" s="344">
        <f t="shared" si="65"/>
        <v>6.849411897429801E-2</v>
      </c>
      <c r="AB488" s="342">
        <v>707.68</v>
      </c>
      <c r="AC488" s="344">
        <f t="shared" si="73"/>
        <v>8.2818623142730825E-3</v>
      </c>
      <c r="AD488" s="342">
        <v>14293.06</v>
      </c>
      <c r="AE488" s="342">
        <v>1025.22</v>
      </c>
      <c r="AF488" s="344">
        <f t="shared" si="66"/>
        <v>7.1728517196457592E-2</v>
      </c>
      <c r="AG488" s="342">
        <v>1154.6400000000001</v>
      </c>
      <c r="AH488" s="344">
        <f t="shared" si="67"/>
        <v>8.0783261247066765E-2</v>
      </c>
      <c r="AI488" s="342">
        <v>902.16</v>
      </c>
      <c r="AJ488" s="344">
        <f t="shared" si="68"/>
        <v>6.3118744341659525E-2</v>
      </c>
      <c r="AK488" s="342">
        <v>5344.65</v>
      </c>
      <c r="AL488" s="784">
        <f t="shared" si="69"/>
        <v>0.37393322353645753</v>
      </c>
      <c r="AM488" s="350">
        <v>33.50466928605082</v>
      </c>
      <c r="AN488" s="350">
        <v>30.051078411079423</v>
      </c>
      <c r="AO488" s="350">
        <v>107.06411985018725</v>
      </c>
      <c r="AP488" s="639">
        <f t="shared" si="70"/>
        <v>2.7055394397537787E-2</v>
      </c>
    </row>
    <row r="489" spans="1:42" x14ac:dyDescent="0.2">
      <c r="A489" s="638">
        <v>42644</v>
      </c>
      <c r="B489" s="341" t="s">
        <v>136</v>
      </c>
      <c r="C489" s="351" t="s">
        <v>196</v>
      </c>
      <c r="D489" s="342">
        <v>98973.190000781804</v>
      </c>
      <c r="E489" s="342">
        <v>5445</v>
      </c>
      <c r="F489" s="342">
        <v>93528.190000781804</v>
      </c>
      <c r="G489" s="342">
        <v>61265.789903430297</v>
      </c>
      <c r="H489" s="342">
        <v>34192.839936999597</v>
      </c>
      <c r="I489" s="342">
        <v>27072.9499664307</v>
      </c>
      <c r="J489" s="342">
        <v>2708.3600044250502</v>
      </c>
      <c r="K489" s="343">
        <v>58557.429899005248</v>
      </c>
      <c r="L489" s="342">
        <v>45889.590164871901</v>
      </c>
      <c r="M489" s="342">
        <v>20</v>
      </c>
      <c r="N489" s="354">
        <v>509</v>
      </c>
      <c r="O489" s="343">
        <v>194.44634577756739</v>
      </c>
      <c r="P489" s="343">
        <v>104.25068730041238</v>
      </c>
      <c r="Q489" s="343">
        <v>120.36500963345834</v>
      </c>
      <c r="R489" s="344">
        <v>0.61901399664844947</v>
      </c>
      <c r="S489" s="344">
        <v>1.2166715938293191</v>
      </c>
      <c r="T489" s="343">
        <v>93316.03</v>
      </c>
      <c r="U489" s="342">
        <v>80232.259999999995</v>
      </c>
      <c r="V489" s="342">
        <v>5312.1</v>
      </c>
      <c r="W489" s="344">
        <f t="shared" si="71"/>
        <v>6.6209028637607872E-2</v>
      </c>
      <c r="X489" s="342">
        <v>9059.7199999999993</v>
      </c>
      <c r="Y489" s="344">
        <f t="shared" si="72"/>
        <v>0.11291866887458984</v>
      </c>
      <c r="Z489" s="342">
        <v>5446.79</v>
      </c>
      <c r="AA489" s="344">
        <f t="shared" si="65"/>
        <v>6.7887779803286114E-2</v>
      </c>
      <c r="AB489" s="342">
        <v>1560.97</v>
      </c>
      <c r="AC489" s="344">
        <f t="shared" si="73"/>
        <v>1.9455640411973937E-2</v>
      </c>
      <c r="AD489" s="342">
        <v>13083.77</v>
      </c>
      <c r="AE489" s="342">
        <v>1968.43</v>
      </c>
      <c r="AF489" s="344">
        <f t="shared" si="66"/>
        <v>0.15044822707828095</v>
      </c>
      <c r="AG489" s="342">
        <v>733.42</v>
      </c>
      <c r="AH489" s="344">
        <f t="shared" si="67"/>
        <v>5.605570871392572E-2</v>
      </c>
      <c r="AI489" s="342">
        <v>896.84</v>
      </c>
      <c r="AJ489" s="344">
        <f t="shared" si="68"/>
        <v>6.8545992477703294E-2</v>
      </c>
      <c r="AK489" s="342">
        <v>3978.9</v>
      </c>
      <c r="AL489" s="784">
        <f t="shared" si="69"/>
        <v>0.30410959532306053</v>
      </c>
      <c r="AM489" s="350">
        <v>29.807068849844654</v>
      </c>
      <c r="AN489" s="350">
        <v>27.280285734130402</v>
      </c>
      <c r="AO489" s="350">
        <v>68.995095798910171</v>
      </c>
      <c r="AP489" s="639">
        <f t="shared" si="70"/>
        <v>5.1039884455637945E-2</v>
      </c>
    </row>
    <row r="490" spans="1:42" x14ac:dyDescent="0.2">
      <c r="A490" s="638">
        <v>42644</v>
      </c>
      <c r="B490" s="341" t="s">
        <v>136</v>
      </c>
      <c r="C490" s="351" t="s">
        <v>290</v>
      </c>
      <c r="D490" s="342">
        <v>91556.930002689405</v>
      </c>
      <c r="E490" s="342">
        <v>4715</v>
      </c>
      <c r="F490" s="342">
        <v>86841.930002689405</v>
      </c>
      <c r="G490" s="342">
        <v>52352.479995727503</v>
      </c>
      <c r="H490" s="342">
        <v>28277.720002174399</v>
      </c>
      <c r="I490" s="342">
        <v>24074.759993553202</v>
      </c>
      <c r="J490" s="342">
        <v>2348.1700065136001</v>
      </c>
      <c r="K490" s="343">
        <v>50004.309989213994</v>
      </c>
      <c r="L490" s="342">
        <v>40244.810157775901</v>
      </c>
      <c r="M490" s="342">
        <v>3.9899997711180002</v>
      </c>
      <c r="N490" s="354">
        <v>426</v>
      </c>
      <c r="O490" s="343">
        <v>214.92237089833193</v>
      </c>
      <c r="P490" s="343">
        <v>120.44161935479434</v>
      </c>
      <c r="Q490" s="343">
        <v>122.89314552987699</v>
      </c>
      <c r="R490" s="344">
        <v>0.57180248392109467</v>
      </c>
      <c r="S490" s="344">
        <v>1.0692917267146562</v>
      </c>
      <c r="T490" s="343">
        <v>73103.95</v>
      </c>
      <c r="U490" s="342">
        <v>65379.14</v>
      </c>
      <c r="V490" s="342">
        <v>6058.96</v>
      </c>
      <c r="W490" s="344">
        <f t="shared" si="71"/>
        <v>9.2674207706005318E-2</v>
      </c>
      <c r="X490" s="342">
        <v>5195.0200000000004</v>
      </c>
      <c r="Y490" s="344">
        <f t="shared" si="72"/>
        <v>7.9459901124425927E-2</v>
      </c>
      <c r="Z490" s="342">
        <v>1693.3</v>
      </c>
      <c r="AA490" s="344">
        <f t="shared" si="65"/>
        <v>2.5899698282969154E-2</v>
      </c>
      <c r="AB490" s="342">
        <v>0</v>
      </c>
      <c r="AC490" s="344">
        <f t="shared" si="73"/>
        <v>0</v>
      </c>
      <c r="AD490" s="342">
        <v>7724.81</v>
      </c>
      <c r="AE490" s="342">
        <v>720.64</v>
      </c>
      <c r="AF490" s="344">
        <f t="shared" si="66"/>
        <v>9.3289025878953644E-2</v>
      </c>
      <c r="AG490" s="342">
        <v>859.49</v>
      </c>
      <c r="AH490" s="344">
        <f t="shared" si="67"/>
        <v>0.11126357800386029</v>
      </c>
      <c r="AI490" s="342">
        <v>-124.69</v>
      </c>
      <c r="AJ490" s="344">
        <v>0</v>
      </c>
      <c r="AK490" s="342">
        <v>0</v>
      </c>
      <c r="AL490" s="784">
        <f t="shared" si="69"/>
        <v>0</v>
      </c>
      <c r="AM490" s="350">
        <v>27.587791230624251</v>
      </c>
      <c r="AN490" s="350">
        <v>26.192290135775583</v>
      </c>
      <c r="AO490" s="350">
        <v>50.244482185444824</v>
      </c>
      <c r="AP490" s="639">
        <f t="shared" si="70"/>
        <v>4.5766041631235051E-2</v>
      </c>
    </row>
    <row r="491" spans="1:42" x14ac:dyDescent="0.2">
      <c r="A491" s="638">
        <v>42644</v>
      </c>
      <c r="B491" s="341" t="s">
        <v>137</v>
      </c>
      <c r="C491" s="351" t="s">
        <v>209</v>
      </c>
      <c r="D491" s="342">
        <v>81153.420003185005</v>
      </c>
      <c r="E491" s="342">
        <v>5636</v>
      </c>
      <c r="F491" s="342">
        <v>75517.420003185005</v>
      </c>
      <c r="G491" s="342">
        <v>47598.489949285999</v>
      </c>
      <c r="H491" s="342">
        <v>24653.009953081601</v>
      </c>
      <c r="I491" s="342">
        <v>22945.479996204402</v>
      </c>
      <c r="J491" s="342">
        <v>1497.9599975347501</v>
      </c>
      <c r="K491" s="343">
        <v>46100.529951751247</v>
      </c>
      <c r="L491" s="342">
        <v>35538.520070552797</v>
      </c>
      <c r="M491" s="342">
        <v>28.579999923706001</v>
      </c>
      <c r="N491" s="354">
        <v>351</v>
      </c>
      <c r="O491" s="343">
        <v>231.20632479539887</v>
      </c>
      <c r="P491" s="343">
        <v>129.8755553638419</v>
      </c>
      <c r="Q491" s="343">
        <v>135.60823347374929</v>
      </c>
      <c r="R491" s="344">
        <v>0.5865247570270965</v>
      </c>
      <c r="S491" s="344">
        <v>1.0796157992557092</v>
      </c>
      <c r="T491" s="343">
        <v>67269.87000000001</v>
      </c>
      <c r="U491" s="342">
        <v>54836.880000000012</v>
      </c>
      <c r="V491" s="342">
        <v>3630.66</v>
      </c>
      <c r="W491" s="344">
        <f t="shared" si="71"/>
        <v>6.6208361963700321E-2</v>
      </c>
      <c r="X491" s="342">
        <v>4394.26</v>
      </c>
      <c r="Y491" s="344">
        <f t="shared" si="72"/>
        <v>8.0133297153302654E-2</v>
      </c>
      <c r="Z491" s="342">
        <v>2761.22</v>
      </c>
      <c r="AA491" s="344">
        <f t="shared" si="65"/>
        <v>5.0353338847870251E-2</v>
      </c>
      <c r="AB491" s="342">
        <v>1184.25</v>
      </c>
      <c r="AC491" s="344">
        <f t="shared" si="73"/>
        <v>2.1595867598594227E-2</v>
      </c>
      <c r="AD491" s="342">
        <v>12432.989999999998</v>
      </c>
      <c r="AE491" s="342">
        <v>494.2</v>
      </c>
      <c r="AF491" s="344">
        <f t="shared" si="66"/>
        <v>3.9749086905080763E-2</v>
      </c>
      <c r="AG491" s="342">
        <v>1212.21</v>
      </c>
      <c r="AH491" s="344">
        <f t="shared" si="67"/>
        <v>9.7499475186580239E-2</v>
      </c>
      <c r="AI491" s="342">
        <v>846.91</v>
      </c>
      <c r="AJ491" s="344">
        <f t="shared" si="68"/>
        <v>6.8117966796402155E-2</v>
      </c>
      <c r="AK491" s="342">
        <v>4992.6899999999996</v>
      </c>
      <c r="AL491" s="784">
        <f t="shared" si="69"/>
        <v>0.40156792533413127</v>
      </c>
      <c r="AM491" s="350">
        <v>27.911282950057466</v>
      </c>
      <c r="AN491" s="350">
        <v>24.518712652227276</v>
      </c>
      <c r="AO491" s="350">
        <v>71.618605990783408</v>
      </c>
      <c r="AP491" s="639">
        <f t="shared" si="70"/>
        <v>3.2859857951814037E-2</v>
      </c>
    </row>
    <row r="492" spans="1:42" x14ac:dyDescent="0.2">
      <c r="A492" s="638">
        <v>42644</v>
      </c>
      <c r="B492" s="341" t="s">
        <v>137</v>
      </c>
      <c r="C492" s="351" t="s">
        <v>197</v>
      </c>
      <c r="D492" s="342">
        <v>211639.34000873601</v>
      </c>
      <c r="E492" s="342">
        <v>10710</v>
      </c>
      <c r="F492" s="342">
        <v>200929.34000873601</v>
      </c>
      <c r="G492" s="342">
        <v>124759.839870237</v>
      </c>
      <c r="H492" s="342">
        <v>68899.179873250396</v>
      </c>
      <c r="I492" s="342">
        <v>55860.659996986396</v>
      </c>
      <c r="J492" s="342">
        <v>4874.4499998092697</v>
      </c>
      <c r="K492" s="343">
        <v>119885.38987042752</v>
      </c>
      <c r="L492" s="342">
        <v>88683.710190083802</v>
      </c>
      <c r="M492" s="342">
        <v>76.040000915527003</v>
      </c>
      <c r="N492" s="354">
        <v>964</v>
      </c>
      <c r="O492" s="343">
        <v>219.54288382648963</v>
      </c>
      <c r="P492" s="343">
        <v>127.46845416777664</v>
      </c>
      <c r="Q492" s="343">
        <v>129.41892102721658</v>
      </c>
      <c r="R492" s="344">
        <v>0.58949267118810222</v>
      </c>
      <c r="S492" s="344">
        <v>1.0572407275033218</v>
      </c>
      <c r="T492" s="343">
        <v>199890.64999999997</v>
      </c>
      <c r="U492" s="342">
        <v>168921.69999999998</v>
      </c>
      <c r="V492" s="342">
        <v>6862.31</v>
      </c>
      <c r="W492" s="344">
        <f t="shared" si="71"/>
        <v>4.0624206363066448E-2</v>
      </c>
      <c r="X492" s="342">
        <v>12288.82</v>
      </c>
      <c r="Y492" s="344">
        <f t="shared" si="72"/>
        <v>7.2748616666775207E-2</v>
      </c>
      <c r="Z492" s="342">
        <v>8069.4</v>
      </c>
      <c r="AA492" s="344">
        <f t="shared" si="65"/>
        <v>4.7770061513707239E-2</v>
      </c>
      <c r="AB492" s="342">
        <v>13265.55</v>
      </c>
      <c r="AC492" s="344">
        <f t="shared" si="73"/>
        <v>7.8530763069516826E-2</v>
      </c>
      <c r="AD492" s="342">
        <v>30968.949999999997</v>
      </c>
      <c r="AE492" s="342">
        <v>1637.7</v>
      </c>
      <c r="AF492" s="344">
        <f t="shared" si="66"/>
        <v>5.288199955116335E-2</v>
      </c>
      <c r="AG492" s="342">
        <v>3527.32</v>
      </c>
      <c r="AH492" s="344">
        <f t="shared" si="67"/>
        <v>0.11389859843488399</v>
      </c>
      <c r="AI492" s="342">
        <v>1998.14</v>
      </c>
      <c r="AJ492" s="344">
        <f t="shared" si="68"/>
        <v>6.452075385184193E-2</v>
      </c>
      <c r="AK492" s="342">
        <v>15534.75</v>
      </c>
      <c r="AL492" s="784">
        <f t="shared" si="69"/>
        <v>0.50162340021214802</v>
      </c>
      <c r="AM492" s="350">
        <v>32.914162029283062</v>
      </c>
      <c r="AN492" s="350">
        <v>29.469537952964032</v>
      </c>
      <c r="AO492" s="350">
        <v>90.815076080935768</v>
      </c>
      <c r="AP492" s="639">
        <f t="shared" si="70"/>
        <v>3.9668508065817794E-2</v>
      </c>
    </row>
    <row r="493" spans="1:42" x14ac:dyDescent="0.2">
      <c r="A493" s="638">
        <v>42644</v>
      </c>
      <c r="B493" s="341" t="s">
        <v>137</v>
      </c>
      <c r="C493" s="351" t="s">
        <v>198</v>
      </c>
      <c r="D493" s="342">
        <v>0</v>
      </c>
      <c r="E493" s="342">
        <v>0</v>
      </c>
      <c r="F493" s="342">
        <v>0</v>
      </c>
      <c r="G493" s="342">
        <v>0</v>
      </c>
      <c r="H493" s="342">
        <v>0</v>
      </c>
      <c r="I493" s="342">
        <v>0</v>
      </c>
      <c r="J493" s="342">
        <v>0</v>
      </c>
      <c r="K493" s="343">
        <v>0</v>
      </c>
      <c r="L493" s="342">
        <v>0</v>
      </c>
      <c r="M493" s="342">
        <v>0</v>
      </c>
      <c r="N493" s="354">
        <v>0</v>
      </c>
      <c r="O493" s="343" t="s">
        <v>311</v>
      </c>
      <c r="P493" s="343" t="s">
        <v>311</v>
      </c>
      <c r="Q493" s="343" t="s">
        <v>311</v>
      </c>
      <c r="R493" s="344" t="s">
        <v>312</v>
      </c>
      <c r="S493" s="344" t="s">
        <v>312</v>
      </c>
      <c r="T493" s="343">
        <v>0</v>
      </c>
      <c r="U493" s="342">
        <v>0</v>
      </c>
      <c r="V493" s="342">
        <v>0</v>
      </c>
      <c r="W493" s="344" t="str">
        <f t="shared" si="71"/>
        <v>0.00%</v>
      </c>
      <c r="X493" s="342">
        <v>0</v>
      </c>
      <c r="Y493" s="344" t="str">
        <f t="shared" si="72"/>
        <v>0.00%</v>
      </c>
      <c r="Z493" s="342">
        <v>0</v>
      </c>
      <c r="AA493" s="344">
        <f t="shared" si="65"/>
        <v>0</v>
      </c>
      <c r="AB493" s="342">
        <v>0</v>
      </c>
      <c r="AC493" s="344" t="str">
        <f t="shared" si="73"/>
        <v>0.00%</v>
      </c>
      <c r="AD493" s="342">
        <v>0</v>
      </c>
      <c r="AE493" s="342">
        <v>0</v>
      </c>
      <c r="AF493" s="344" t="str">
        <f t="shared" si="66"/>
        <v>0.00%</v>
      </c>
      <c r="AG493" s="342">
        <v>0</v>
      </c>
      <c r="AH493" s="344" t="str">
        <f t="shared" si="67"/>
        <v>0.00%</v>
      </c>
      <c r="AI493" s="342">
        <v>0</v>
      </c>
      <c r="AJ493" s="344">
        <f t="shared" si="68"/>
        <v>0</v>
      </c>
      <c r="AK493" s="342">
        <v>0</v>
      </c>
      <c r="AL493" s="784" t="str">
        <f t="shared" si="69"/>
        <v>0.00%</v>
      </c>
      <c r="AM493" s="350">
        <v>0</v>
      </c>
      <c r="AN493" s="350">
        <v>0</v>
      </c>
      <c r="AO493" s="350">
        <v>0</v>
      </c>
      <c r="AP493" s="639" t="str">
        <f t="shared" si="70"/>
        <v>0.00%</v>
      </c>
    </row>
    <row r="494" spans="1:42" x14ac:dyDescent="0.2">
      <c r="A494" s="638">
        <v>42644</v>
      </c>
      <c r="B494" s="341" t="s">
        <v>137</v>
      </c>
      <c r="C494" s="351" t="s">
        <v>199</v>
      </c>
      <c r="D494" s="342">
        <v>237652.540010775</v>
      </c>
      <c r="E494" s="342">
        <v>12959</v>
      </c>
      <c r="F494" s="342">
        <v>224693.540010775</v>
      </c>
      <c r="G494" s="342">
        <v>146100.41988882399</v>
      </c>
      <c r="H494" s="342">
        <v>90486.179860830307</v>
      </c>
      <c r="I494" s="342">
        <v>55614.240027993903</v>
      </c>
      <c r="J494" s="342">
        <v>5384.5900166034698</v>
      </c>
      <c r="K494" s="343">
        <v>140715.82987222075</v>
      </c>
      <c r="L494" s="342">
        <v>91051.470269918398</v>
      </c>
      <c r="M494" s="342">
        <v>-298.15999412536598</v>
      </c>
      <c r="N494" s="354">
        <v>1149</v>
      </c>
      <c r="O494" s="343">
        <v>206.83423847761097</v>
      </c>
      <c r="P494" s="343">
        <v>127.84963423410092</v>
      </c>
      <c r="Q494" s="343">
        <v>127.15441243587836</v>
      </c>
      <c r="R494" s="344">
        <v>0.61476481539898598</v>
      </c>
      <c r="S494" s="344">
        <v>1.0324049877777428</v>
      </c>
      <c r="T494" s="343">
        <v>225732.16000000003</v>
      </c>
      <c r="U494" s="342">
        <v>181703.48</v>
      </c>
      <c r="V494" s="342">
        <v>5881.01</v>
      </c>
      <c r="W494" s="344">
        <f t="shared" si="71"/>
        <v>3.2365973397977844E-2</v>
      </c>
      <c r="X494" s="342">
        <v>8900.2999999999993</v>
      </c>
      <c r="Y494" s="344">
        <f t="shared" si="72"/>
        <v>4.8982551132207258E-2</v>
      </c>
      <c r="Z494" s="342">
        <v>8109.24</v>
      </c>
      <c r="AA494" s="344">
        <f t="shared" si="65"/>
        <v>4.4628974634938194E-2</v>
      </c>
      <c r="AB494" s="342">
        <v>5891.19</v>
      </c>
      <c r="AC494" s="344">
        <f t="shared" si="73"/>
        <v>3.2421998742126451E-2</v>
      </c>
      <c r="AD494" s="342">
        <v>44028.680000000008</v>
      </c>
      <c r="AE494" s="342">
        <v>2423.0300000000002</v>
      </c>
      <c r="AF494" s="344">
        <f t="shared" si="66"/>
        <v>5.5032992131492466E-2</v>
      </c>
      <c r="AG494" s="342">
        <v>2473.42</v>
      </c>
      <c r="AH494" s="344">
        <f t="shared" si="67"/>
        <v>5.6177473410513323E-2</v>
      </c>
      <c r="AI494" s="342">
        <v>2031.27</v>
      </c>
      <c r="AJ494" s="344">
        <f t="shared" si="68"/>
        <v>4.6135155539525595E-2</v>
      </c>
      <c r="AK494" s="342">
        <v>26827.33</v>
      </c>
      <c r="AL494" s="784">
        <f t="shared" si="69"/>
        <v>0.60931488293539571</v>
      </c>
      <c r="AM494" s="350">
        <v>32.372598755354694</v>
      </c>
      <c r="AN494" s="350">
        <v>27.940219427899397</v>
      </c>
      <c r="AO494" s="350">
        <v>93.748963755086606</v>
      </c>
      <c r="AP494" s="639">
        <f t="shared" si="70"/>
        <v>3.665499149531079E-2</v>
      </c>
    </row>
    <row r="495" spans="1:42" x14ac:dyDescent="0.2">
      <c r="A495" s="638">
        <v>42644</v>
      </c>
      <c r="B495" s="341" t="s">
        <v>137</v>
      </c>
      <c r="C495" s="351" t="s">
        <v>200</v>
      </c>
      <c r="D495" s="342">
        <v>0</v>
      </c>
      <c r="E495" s="342">
        <v>0</v>
      </c>
      <c r="F495" s="342">
        <v>0</v>
      </c>
      <c r="G495" s="342">
        <v>0</v>
      </c>
      <c r="H495" s="342">
        <v>0</v>
      </c>
      <c r="I495" s="342">
        <v>0</v>
      </c>
      <c r="J495" s="342">
        <v>0</v>
      </c>
      <c r="K495" s="343">
        <v>0</v>
      </c>
      <c r="L495" s="342">
        <v>0</v>
      </c>
      <c r="M495" s="342">
        <v>0</v>
      </c>
      <c r="N495" s="354">
        <v>0</v>
      </c>
      <c r="O495" s="343" t="s">
        <v>311</v>
      </c>
      <c r="P495" s="343" t="s">
        <v>311</v>
      </c>
      <c r="Q495" s="343" t="s">
        <v>311</v>
      </c>
      <c r="R495" s="344" t="s">
        <v>312</v>
      </c>
      <c r="S495" s="344" t="s">
        <v>312</v>
      </c>
      <c r="T495" s="343">
        <v>-75</v>
      </c>
      <c r="U495" s="342">
        <v>-25</v>
      </c>
      <c r="V495" s="342">
        <v>0</v>
      </c>
      <c r="W495" s="344">
        <v>0</v>
      </c>
      <c r="X495" s="342">
        <v>0</v>
      </c>
      <c r="Y495" s="344">
        <f t="shared" si="72"/>
        <v>0</v>
      </c>
      <c r="Z495" s="342">
        <v>0</v>
      </c>
      <c r="AA495" s="344">
        <f t="shared" si="65"/>
        <v>0</v>
      </c>
      <c r="AB495" s="342">
        <v>-25</v>
      </c>
      <c r="AC495" s="344">
        <v>0</v>
      </c>
      <c r="AD495" s="342">
        <v>-50</v>
      </c>
      <c r="AE495" s="342">
        <v>0</v>
      </c>
      <c r="AF495" s="344">
        <f t="shared" si="66"/>
        <v>0</v>
      </c>
      <c r="AG495" s="342">
        <v>0</v>
      </c>
      <c r="AH495" s="344">
        <f t="shared" si="67"/>
        <v>0</v>
      </c>
      <c r="AI495" s="342">
        <v>0</v>
      </c>
      <c r="AJ495" s="344">
        <f t="shared" si="68"/>
        <v>0</v>
      </c>
      <c r="AK495" s="342">
        <v>-50</v>
      </c>
      <c r="AL495" s="784">
        <f t="shared" si="69"/>
        <v>1</v>
      </c>
      <c r="AM495" s="350">
        <v>0</v>
      </c>
      <c r="AN495" s="350">
        <v>0</v>
      </c>
      <c r="AO495" s="350">
        <v>0</v>
      </c>
      <c r="AP495" s="639" t="str">
        <f t="shared" si="70"/>
        <v>0.00%</v>
      </c>
    </row>
    <row r="496" spans="1:42" x14ac:dyDescent="0.2">
      <c r="A496" s="638">
        <v>42644</v>
      </c>
      <c r="B496" s="341" t="s">
        <v>137</v>
      </c>
      <c r="C496" s="351" t="s">
        <v>201</v>
      </c>
      <c r="D496" s="342">
        <v>235267.59000911401</v>
      </c>
      <c r="E496" s="342">
        <v>8378</v>
      </c>
      <c r="F496" s="342">
        <v>226889.59000911401</v>
      </c>
      <c r="G496" s="342">
        <v>148786.13007133501</v>
      </c>
      <c r="H496" s="342">
        <v>97065.679995827406</v>
      </c>
      <c r="I496" s="342">
        <v>51720.4500755072</v>
      </c>
      <c r="J496" s="342">
        <v>4004.7000029087098</v>
      </c>
      <c r="K496" s="343">
        <v>144781.43006842589</v>
      </c>
      <c r="L496" s="342">
        <v>102076.400052629</v>
      </c>
      <c r="M496" s="342">
        <v>-182.89000391960101</v>
      </c>
      <c r="N496" s="354">
        <v>1093</v>
      </c>
      <c r="O496" s="343">
        <v>215.24939616570359</v>
      </c>
      <c r="P496" s="343">
        <v>122.02569072315151</v>
      </c>
      <c r="Q496" s="343">
        <v>136.12637700945527</v>
      </c>
      <c r="R496" s="344">
        <v>0.63241235252833072</v>
      </c>
      <c r="S496" s="344">
        <v>1.1500876801003301</v>
      </c>
      <c r="T496" s="343">
        <v>279425.05</v>
      </c>
      <c r="U496" s="342">
        <v>215838.01</v>
      </c>
      <c r="V496" s="342">
        <v>6913.84</v>
      </c>
      <c r="W496" s="344">
        <f t="shared" si="71"/>
        <v>3.2032541441611696E-2</v>
      </c>
      <c r="X496" s="342">
        <v>17184.330000000002</v>
      </c>
      <c r="Y496" s="344">
        <f t="shared" si="72"/>
        <v>7.9616792241551895E-2</v>
      </c>
      <c r="Z496" s="342">
        <v>10905.35</v>
      </c>
      <c r="AA496" s="344">
        <f t="shared" si="65"/>
        <v>5.052562335985214E-2</v>
      </c>
      <c r="AB496" s="342">
        <v>21188.58</v>
      </c>
      <c r="AC496" s="344">
        <f t="shared" si="73"/>
        <v>9.81688999078522E-2</v>
      </c>
      <c r="AD496" s="342">
        <v>63587.040000000001</v>
      </c>
      <c r="AE496" s="342">
        <v>4602.75</v>
      </c>
      <c r="AF496" s="344">
        <f t="shared" si="66"/>
        <v>7.2385033176571828E-2</v>
      </c>
      <c r="AG496" s="342">
        <v>3794</v>
      </c>
      <c r="AH496" s="344">
        <f t="shared" si="67"/>
        <v>5.9666246455252515E-2</v>
      </c>
      <c r="AI496" s="342">
        <v>4318.68</v>
      </c>
      <c r="AJ496" s="344">
        <f t="shared" si="68"/>
        <v>6.7917613400466509E-2</v>
      </c>
      <c r="AK496" s="342">
        <v>42075.83</v>
      </c>
      <c r="AL496" s="784">
        <f t="shared" si="69"/>
        <v>0.66170449198453019</v>
      </c>
      <c r="AM496" s="350">
        <v>37.657962719357251</v>
      </c>
      <c r="AN496" s="350">
        <v>30.638242510414685</v>
      </c>
      <c r="AO496" s="350">
        <v>169.40587221714586</v>
      </c>
      <c r="AP496" s="639">
        <f t="shared" si="70"/>
        <v>3.002607406249853E-2</v>
      </c>
    </row>
    <row r="497" spans="1:42" x14ac:dyDescent="0.2">
      <c r="A497" s="638">
        <v>42644</v>
      </c>
      <c r="B497" s="341" t="s">
        <v>137</v>
      </c>
      <c r="C497" s="351" t="s">
        <v>202</v>
      </c>
      <c r="D497" s="342">
        <v>0</v>
      </c>
      <c r="E497" s="342">
        <v>0</v>
      </c>
      <c r="F497" s="342">
        <v>0</v>
      </c>
      <c r="G497" s="342">
        <v>0</v>
      </c>
      <c r="H497" s="342">
        <v>0</v>
      </c>
      <c r="I497" s="342">
        <v>0</v>
      </c>
      <c r="J497" s="342">
        <v>0</v>
      </c>
      <c r="K497" s="343">
        <v>0</v>
      </c>
      <c r="L497" s="342">
        <v>0</v>
      </c>
      <c r="M497" s="342">
        <v>0</v>
      </c>
      <c r="N497" s="354">
        <v>0</v>
      </c>
      <c r="O497" s="343" t="s">
        <v>311</v>
      </c>
      <c r="P497" s="343" t="s">
        <v>311</v>
      </c>
      <c r="Q497" s="343" t="s">
        <v>311</v>
      </c>
      <c r="R497" s="344" t="s">
        <v>312</v>
      </c>
      <c r="S497" s="344" t="s">
        <v>312</v>
      </c>
      <c r="T497" s="343">
        <v>0</v>
      </c>
      <c r="U497" s="342">
        <v>0</v>
      </c>
      <c r="V497" s="342">
        <v>0</v>
      </c>
      <c r="W497" s="344" t="str">
        <f t="shared" si="71"/>
        <v>0.00%</v>
      </c>
      <c r="X497" s="342">
        <v>0</v>
      </c>
      <c r="Y497" s="344" t="str">
        <f t="shared" si="72"/>
        <v>0.00%</v>
      </c>
      <c r="Z497" s="342">
        <v>0</v>
      </c>
      <c r="AA497" s="344">
        <f t="shared" si="65"/>
        <v>0</v>
      </c>
      <c r="AB497" s="342">
        <v>0</v>
      </c>
      <c r="AC497" s="344" t="str">
        <f t="shared" si="73"/>
        <v>0.00%</v>
      </c>
      <c r="AD497" s="342">
        <v>0</v>
      </c>
      <c r="AE497" s="342">
        <v>0</v>
      </c>
      <c r="AF497" s="344" t="str">
        <f t="shared" si="66"/>
        <v>0.00%</v>
      </c>
      <c r="AG497" s="342">
        <v>0</v>
      </c>
      <c r="AH497" s="344" t="str">
        <f t="shared" si="67"/>
        <v>0.00%</v>
      </c>
      <c r="AI497" s="342">
        <v>0</v>
      </c>
      <c r="AJ497" s="344">
        <f t="shared" si="68"/>
        <v>0</v>
      </c>
      <c r="AK497" s="342">
        <v>0</v>
      </c>
      <c r="AL497" s="784" t="str">
        <f t="shared" si="69"/>
        <v>0.00%</v>
      </c>
      <c r="AM497" s="350">
        <v>0</v>
      </c>
      <c r="AN497" s="350">
        <v>0</v>
      </c>
      <c r="AO497" s="350">
        <v>0</v>
      </c>
      <c r="AP497" s="639" t="str">
        <f t="shared" si="70"/>
        <v>0.00%</v>
      </c>
    </row>
    <row r="498" spans="1:42" x14ac:dyDescent="0.2">
      <c r="A498" s="638">
        <v>42644</v>
      </c>
      <c r="B498" s="341" t="s">
        <v>137</v>
      </c>
      <c r="C498" s="351" t="s">
        <v>203</v>
      </c>
      <c r="D498" s="342">
        <v>153815.170002937</v>
      </c>
      <c r="E498" s="342">
        <v>11098</v>
      </c>
      <c r="F498" s="342">
        <v>142717.170002937</v>
      </c>
      <c r="G498" s="342">
        <v>101322.849854246</v>
      </c>
      <c r="H498" s="342">
        <v>55065.189863994703</v>
      </c>
      <c r="I498" s="342">
        <v>46257.659990251101</v>
      </c>
      <c r="J498" s="342">
        <v>4459.3899862766302</v>
      </c>
      <c r="K498" s="343">
        <v>96863.459867969184</v>
      </c>
      <c r="L498" s="342">
        <v>65348.8100616187</v>
      </c>
      <c r="M498" s="342">
        <v>-583.059995651245</v>
      </c>
      <c r="N498" s="354">
        <v>855</v>
      </c>
      <c r="O498" s="343">
        <v>179.90078362916609</v>
      </c>
      <c r="P498" s="343">
        <v>104.15136834733279</v>
      </c>
      <c r="Q498" s="343">
        <v>118.50625713946879</v>
      </c>
      <c r="R498" s="344">
        <v>0.65873118920787277</v>
      </c>
      <c r="S498" s="344">
        <v>1.1978107811677849</v>
      </c>
      <c r="T498" s="343">
        <v>149250.16999999998</v>
      </c>
      <c r="U498" s="342">
        <v>118161.37</v>
      </c>
      <c r="V498" s="342">
        <v>4274.7700000000004</v>
      </c>
      <c r="W498" s="344">
        <f t="shared" si="71"/>
        <v>3.6177390292614249E-2</v>
      </c>
      <c r="X498" s="342">
        <v>4877.7700000000004</v>
      </c>
      <c r="Y498" s="344">
        <f t="shared" si="72"/>
        <v>4.1280580954672415E-2</v>
      </c>
      <c r="Z498" s="342">
        <v>5872.51</v>
      </c>
      <c r="AA498" s="344">
        <f t="shared" si="65"/>
        <v>4.9699068316489563E-2</v>
      </c>
      <c r="AB498" s="342">
        <v>9696.64</v>
      </c>
      <c r="AC498" s="344">
        <f t="shared" si="73"/>
        <v>8.2062691046997843E-2</v>
      </c>
      <c r="AD498" s="342">
        <v>31088.799999999999</v>
      </c>
      <c r="AE498" s="342">
        <v>923.16</v>
      </c>
      <c r="AF498" s="344">
        <f t="shared" si="66"/>
        <v>2.9694295051594141E-2</v>
      </c>
      <c r="AG498" s="342">
        <v>1781.41</v>
      </c>
      <c r="AH498" s="344">
        <f t="shared" si="67"/>
        <v>5.7300699930521608E-2</v>
      </c>
      <c r="AI498" s="342">
        <v>2864.89</v>
      </c>
      <c r="AJ498" s="344">
        <f t="shared" si="68"/>
        <v>9.2151836030982218E-2</v>
      </c>
      <c r="AK498" s="342">
        <v>19013.02</v>
      </c>
      <c r="AL498" s="784">
        <f t="shared" si="69"/>
        <v>0.61157136975373771</v>
      </c>
      <c r="AM498" s="350">
        <v>30.378257897973757</v>
      </c>
      <c r="AN498" s="350">
        <v>25.939930573938298</v>
      </c>
      <c r="AO498" s="350">
        <v>86.872578241430702</v>
      </c>
      <c r="AP498" s="639">
        <f t="shared" si="70"/>
        <v>5.0077698309916568E-2</v>
      </c>
    </row>
    <row r="499" spans="1:42" x14ac:dyDescent="0.2">
      <c r="A499" s="638">
        <v>42644</v>
      </c>
      <c r="B499" s="341" t="s">
        <v>137</v>
      </c>
      <c r="C499" s="351" t="s">
        <v>204</v>
      </c>
      <c r="D499" s="342">
        <v>75898.250002173707</v>
      </c>
      <c r="E499" s="342">
        <v>4117</v>
      </c>
      <c r="F499" s="342">
        <v>71781.250002173707</v>
      </c>
      <c r="G499" s="342">
        <v>44337.799941420599</v>
      </c>
      <c r="H499" s="342">
        <v>23722.8199414015</v>
      </c>
      <c r="I499" s="342">
        <v>20614.980000019099</v>
      </c>
      <c r="J499" s="342">
        <v>1854.2300128936799</v>
      </c>
      <c r="K499" s="343">
        <v>42483.569928526922</v>
      </c>
      <c r="L499" s="342">
        <v>27729.540079236001</v>
      </c>
      <c r="M499" s="342">
        <v>0</v>
      </c>
      <c r="N499" s="354">
        <v>438</v>
      </c>
      <c r="O499" s="343">
        <v>173.28367580404955</v>
      </c>
      <c r="P499" s="343">
        <v>109.97422356835092</v>
      </c>
      <c r="Q499" s="343">
        <v>101.22785374753562</v>
      </c>
      <c r="R499" s="344">
        <v>0.58417420612663373</v>
      </c>
      <c r="S499" s="344">
        <v>0.95732047574618762</v>
      </c>
      <c r="T499" s="343">
        <v>79010.569999999992</v>
      </c>
      <c r="U499" s="342">
        <v>63342.599999999991</v>
      </c>
      <c r="V499" s="342">
        <v>3826.17</v>
      </c>
      <c r="W499" s="344">
        <f t="shared" si="71"/>
        <v>6.0404372412878549E-2</v>
      </c>
      <c r="X499" s="342">
        <v>4592.5200000000004</v>
      </c>
      <c r="Y499" s="344">
        <f t="shared" si="72"/>
        <v>7.2502865370224795E-2</v>
      </c>
      <c r="Z499" s="342">
        <v>4052.03</v>
      </c>
      <c r="AA499" s="344">
        <f t="shared" si="65"/>
        <v>6.3970061222621125E-2</v>
      </c>
      <c r="AB499" s="342">
        <v>750</v>
      </c>
      <c r="AC499" s="344">
        <f t="shared" si="73"/>
        <v>1.1840372829659662E-2</v>
      </c>
      <c r="AD499" s="342">
        <v>15667.970000000001</v>
      </c>
      <c r="AE499" s="342">
        <v>374.07</v>
      </c>
      <c r="AF499" s="344">
        <f t="shared" si="66"/>
        <v>2.3874822328610532E-2</v>
      </c>
      <c r="AG499" s="342">
        <v>781.7</v>
      </c>
      <c r="AH499" s="344">
        <f t="shared" si="67"/>
        <v>4.9891594124829186E-2</v>
      </c>
      <c r="AI499" s="342">
        <v>332.63</v>
      </c>
      <c r="AJ499" s="344">
        <f t="shared" si="68"/>
        <v>2.1229935977666536E-2</v>
      </c>
      <c r="AK499" s="342">
        <v>8159.71</v>
      </c>
      <c r="AL499" s="784">
        <f t="shared" si="69"/>
        <v>0.52078922795997185</v>
      </c>
      <c r="AM499" s="350">
        <v>34.883375358501816</v>
      </c>
      <c r="AN499" s="350">
        <v>29.679587006431955</v>
      </c>
      <c r="AO499" s="350">
        <v>119.8060577740017</v>
      </c>
      <c r="AP499" s="639">
        <f t="shared" si="70"/>
        <v>3.84944918778218E-2</v>
      </c>
    </row>
    <row r="500" spans="1:42" x14ac:dyDescent="0.2">
      <c r="A500" s="638">
        <v>42644</v>
      </c>
      <c r="B500" s="341" t="s">
        <v>137</v>
      </c>
      <c r="C500" s="351" t="s">
        <v>205</v>
      </c>
      <c r="D500" s="342">
        <v>0</v>
      </c>
      <c r="E500" s="342">
        <v>0</v>
      </c>
      <c r="F500" s="342">
        <v>0</v>
      </c>
      <c r="G500" s="342">
        <v>30</v>
      </c>
      <c r="H500" s="342">
        <v>0</v>
      </c>
      <c r="I500" s="342">
        <v>30</v>
      </c>
      <c r="J500" s="342">
        <v>0</v>
      </c>
      <c r="K500" s="343">
        <v>30</v>
      </c>
      <c r="L500" s="342">
        <v>0</v>
      </c>
      <c r="M500" s="342">
        <v>0</v>
      </c>
      <c r="N500" s="354">
        <v>0</v>
      </c>
      <c r="O500" s="343" t="s">
        <v>311</v>
      </c>
      <c r="P500" s="343" t="s">
        <v>311</v>
      </c>
      <c r="Q500" s="343" t="s">
        <v>311</v>
      </c>
      <c r="R500" s="344" t="s">
        <v>312</v>
      </c>
      <c r="S500" s="344" t="s">
        <v>312</v>
      </c>
      <c r="T500" s="343">
        <v>-8.66</v>
      </c>
      <c r="U500" s="342">
        <v>0</v>
      </c>
      <c r="V500" s="342">
        <v>0</v>
      </c>
      <c r="W500" s="344" t="str">
        <f t="shared" si="71"/>
        <v>0.00%</v>
      </c>
      <c r="X500" s="342">
        <v>0</v>
      </c>
      <c r="Y500" s="344" t="str">
        <f t="shared" si="72"/>
        <v>0.00%</v>
      </c>
      <c r="Z500" s="342">
        <v>0</v>
      </c>
      <c r="AA500" s="344">
        <f t="shared" si="65"/>
        <v>0</v>
      </c>
      <c r="AB500" s="342">
        <v>0</v>
      </c>
      <c r="AC500" s="344" t="str">
        <f t="shared" si="73"/>
        <v>0.00%</v>
      </c>
      <c r="AD500" s="342">
        <v>-8.66</v>
      </c>
      <c r="AE500" s="342">
        <v>0</v>
      </c>
      <c r="AF500" s="344">
        <f t="shared" si="66"/>
        <v>0</v>
      </c>
      <c r="AG500" s="342">
        <v>0</v>
      </c>
      <c r="AH500" s="344">
        <f t="shared" si="67"/>
        <v>0</v>
      </c>
      <c r="AI500" s="342">
        <v>0</v>
      </c>
      <c r="AJ500" s="344">
        <f t="shared" si="68"/>
        <v>0</v>
      </c>
      <c r="AK500" s="342">
        <v>-8.66</v>
      </c>
      <c r="AL500" s="784">
        <f t="shared" si="69"/>
        <v>1</v>
      </c>
      <c r="AM500" s="350">
        <v>0</v>
      </c>
      <c r="AN500" s="350">
        <v>0</v>
      </c>
      <c r="AO500" s="350">
        <v>0</v>
      </c>
      <c r="AP500" s="639" t="str">
        <f t="shared" si="70"/>
        <v>0.00%</v>
      </c>
    </row>
    <row r="501" spans="1:42" x14ac:dyDescent="0.2">
      <c r="A501" s="638">
        <v>42644</v>
      </c>
      <c r="B501" s="341" t="s">
        <v>137</v>
      </c>
      <c r="C501" s="351" t="s">
        <v>206</v>
      </c>
      <c r="D501" s="342">
        <v>164362.550001789</v>
      </c>
      <c r="E501" s="342">
        <v>10074</v>
      </c>
      <c r="F501" s="342">
        <v>154288.550001789</v>
      </c>
      <c r="G501" s="342">
        <v>104327.310108611</v>
      </c>
      <c r="H501" s="342">
        <v>61533.960071504102</v>
      </c>
      <c r="I501" s="342">
        <v>42793.3500371072</v>
      </c>
      <c r="J501" s="342">
        <v>3415.4900047779101</v>
      </c>
      <c r="K501" s="343">
        <v>100911.82010383339</v>
      </c>
      <c r="L501" s="342">
        <v>64053.190027246303</v>
      </c>
      <c r="M501" s="342">
        <v>-1107.37999343872</v>
      </c>
      <c r="N501" s="354">
        <v>838</v>
      </c>
      <c r="O501" s="343">
        <v>196.1366945128747</v>
      </c>
      <c r="P501" s="343">
        <v>121.02236273028808</v>
      </c>
      <c r="Q501" s="343">
        <v>124.49559678831898</v>
      </c>
      <c r="R501" s="344">
        <v>0.63473893601356124</v>
      </c>
      <c r="S501" s="344">
        <v>1.0645508108088728</v>
      </c>
      <c r="T501" s="343">
        <v>198877.23999999996</v>
      </c>
      <c r="U501" s="342">
        <v>154864.43999999997</v>
      </c>
      <c r="V501" s="342">
        <v>4985.04</v>
      </c>
      <c r="W501" s="344">
        <f t="shared" si="71"/>
        <v>3.218970087645686E-2</v>
      </c>
      <c r="X501" s="342">
        <v>7318.29</v>
      </c>
      <c r="Y501" s="344">
        <f t="shared" si="72"/>
        <v>4.7256103467006379E-2</v>
      </c>
      <c r="Z501" s="342">
        <v>7245.72</v>
      </c>
      <c r="AA501" s="344">
        <f t="shared" si="65"/>
        <v>4.6787500087173022E-2</v>
      </c>
      <c r="AB501" s="342">
        <v>18969.93</v>
      </c>
      <c r="AC501" s="344">
        <f t="shared" si="73"/>
        <v>0.12249377584679869</v>
      </c>
      <c r="AD501" s="342">
        <v>44012.799999999996</v>
      </c>
      <c r="AE501" s="342">
        <v>2302.14</v>
      </c>
      <c r="AF501" s="344">
        <f t="shared" si="66"/>
        <v>5.2306147302602884E-2</v>
      </c>
      <c r="AG501" s="342">
        <v>1382.22</v>
      </c>
      <c r="AH501" s="344">
        <f t="shared" si="67"/>
        <v>3.1404954922204451E-2</v>
      </c>
      <c r="AI501" s="342">
        <v>2492.2600000000002</v>
      </c>
      <c r="AJ501" s="344">
        <f t="shared" si="68"/>
        <v>5.6625799767340418E-2</v>
      </c>
      <c r="AK501" s="342">
        <v>28705.01</v>
      </c>
      <c r="AL501" s="784">
        <f t="shared" si="69"/>
        <v>0.65219686091318896</v>
      </c>
      <c r="AM501" s="350">
        <v>37.634318703459172</v>
      </c>
      <c r="AN501" s="350">
        <v>31.414303642287706</v>
      </c>
      <c r="AO501" s="350">
        <v>124.07684387032656</v>
      </c>
      <c r="AP501" s="639">
        <f t="shared" si="70"/>
        <v>3.3677773569296597E-2</v>
      </c>
    </row>
    <row r="502" spans="1:42" x14ac:dyDescent="0.2">
      <c r="A502" s="638">
        <v>42644</v>
      </c>
      <c r="B502" s="341" t="s">
        <v>137</v>
      </c>
      <c r="C502" s="351" t="s">
        <v>207</v>
      </c>
      <c r="D502" s="342">
        <v>0</v>
      </c>
      <c r="E502" s="342">
        <v>0</v>
      </c>
      <c r="F502" s="342">
        <v>0</v>
      </c>
      <c r="G502" s="342">
        <v>0</v>
      </c>
      <c r="H502" s="342">
        <v>0</v>
      </c>
      <c r="I502" s="342">
        <v>0</v>
      </c>
      <c r="J502" s="342">
        <v>0</v>
      </c>
      <c r="K502" s="343">
        <v>0</v>
      </c>
      <c r="L502" s="342">
        <v>0</v>
      </c>
      <c r="M502" s="342">
        <v>0</v>
      </c>
      <c r="N502" s="354">
        <v>0</v>
      </c>
      <c r="O502" s="343" t="s">
        <v>311</v>
      </c>
      <c r="P502" s="343" t="s">
        <v>311</v>
      </c>
      <c r="Q502" s="343" t="s">
        <v>311</v>
      </c>
      <c r="R502" s="344" t="s">
        <v>312</v>
      </c>
      <c r="S502" s="344" t="s">
        <v>312</v>
      </c>
      <c r="T502" s="343">
        <v>0</v>
      </c>
      <c r="U502" s="342">
        <v>0</v>
      </c>
      <c r="V502" s="342">
        <v>0</v>
      </c>
      <c r="W502" s="344" t="str">
        <f t="shared" si="71"/>
        <v>0.00%</v>
      </c>
      <c r="X502" s="342">
        <v>0</v>
      </c>
      <c r="Y502" s="344" t="str">
        <f t="shared" si="72"/>
        <v>0.00%</v>
      </c>
      <c r="Z502" s="342">
        <v>0</v>
      </c>
      <c r="AA502" s="344">
        <f t="shared" si="65"/>
        <v>0</v>
      </c>
      <c r="AB502" s="342">
        <v>0</v>
      </c>
      <c r="AC502" s="344" t="str">
        <f t="shared" si="73"/>
        <v>0.00%</v>
      </c>
      <c r="AD502" s="342">
        <v>0</v>
      </c>
      <c r="AE502" s="342">
        <v>0</v>
      </c>
      <c r="AF502" s="344" t="str">
        <f t="shared" si="66"/>
        <v>0.00%</v>
      </c>
      <c r="AG502" s="342">
        <v>0</v>
      </c>
      <c r="AH502" s="344" t="str">
        <f t="shared" si="67"/>
        <v>0.00%</v>
      </c>
      <c r="AI502" s="342">
        <v>0</v>
      </c>
      <c r="AJ502" s="344">
        <f t="shared" si="68"/>
        <v>0</v>
      </c>
      <c r="AK502" s="342">
        <v>0</v>
      </c>
      <c r="AL502" s="784" t="str">
        <f t="shared" si="69"/>
        <v>0.00%</v>
      </c>
      <c r="AM502" s="350">
        <v>0</v>
      </c>
      <c r="AN502" s="350">
        <v>0</v>
      </c>
      <c r="AO502" s="350">
        <v>0</v>
      </c>
      <c r="AP502" s="639" t="str">
        <f t="shared" si="70"/>
        <v>0.00%</v>
      </c>
    </row>
    <row r="503" spans="1:42" x14ac:dyDescent="0.2">
      <c r="A503" s="638">
        <v>42644</v>
      </c>
      <c r="B503" s="341" t="s">
        <v>137</v>
      </c>
      <c r="C503" s="351" t="s">
        <v>208</v>
      </c>
      <c r="D503" s="342">
        <v>136114.050002098</v>
      </c>
      <c r="E503" s="342">
        <v>7036</v>
      </c>
      <c r="F503" s="342">
        <v>129078.050002098</v>
      </c>
      <c r="G503" s="342">
        <v>79537.269818771601</v>
      </c>
      <c r="H503" s="342">
        <v>45924.619808662697</v>
      </c>
      <c r="I503" s="342">
        <v>33612.650010108897</v>
      </c>
      <c r="J503" s="342">
        <v>1929.6500005722</v>
      </c>
      <c r="K503" s="343">
        <v>77607.619818199397</v>
      </c>
      <c r="L503" s="342">
        <v>60680.520005473903</v>
      </c>
      <c r="M503" s="342">
        <v>75.179996490478004</v>
      </c>
      <c r="N503" s="354">
        <v>695</v>
      </c>
      <c r="O503" s="343">
        <v>195.84755395985323</v>
      </c>
      <c r="P503" s="343">
        <v>108.42928057573182</v>
      </c>
      <c r="Q503" s="343">
        <v>114.44211484715338</v>
      </c>
      <c r="R503" s="344">
        <v>0.58434283468565995</v>
      </c>
      <c r="S503" s="344">
        <v>1.0831904938974362</v>
      </c>
      <c r="T503" s="343">
        <v>174153.53999999998</v>
      </c>
      <c r="U503" s="342">
        <v>134017.59999999998</v>
      </c>
      <c r="V503" s="342">
        <v>6419.14</v>
      </c>
      <c r="W503" s="344">
        <f t="shared" si="71"/>
        <v>4.7897738804455546E-2</v>
      </c>
      <c r="X503" s="342">
        <v>6153.53</v>
      </c>
      <c r="Y503" s="344">
        <f t="shared" si="72"/>
        <v>4.5915834935113004E-2</v>
      </c>
      <c r="Z503" s="342">
        <v>8294.5400000000009</v>
      </c>
      <c r="AA503" s="344">
        <f t="shared" si="65"/>
        <v>6.1891423216055223E-2</v>
      </c>
      <c r="AB503" s="342">
        <v>14124.21</v>
      </c>
      <c r="AC503" s="344">
        <f t="shared" si="73"/>
        <v>0.1053907098769117</v>
      </c>
      <c r="AD503" s="342">
        <v>40135.94</v>
      </c>
      <c r="AE503" s="342">
        <v>2394.0700000000002</v>
      </c>
      <c r="AF503" s="344">
        <f t="shared" si="66"/>
        <v>5.9649032762157807E-2</v>
      </c>
      <c r="AG503" s="342">
        <v>1668.2</v>
      </c>
      <c r="AH503" s="344">
        <f t="shared" si="67"/>
        <v>4.1563745610542567E-2</v>
      </c>
      <c r="AI503" s="342">
        <v>2453.96</v>
      </c>
      <c r="AJ503" s="344">
        <f t="shared" si="68"/>
        <v>6.1141211592403218E-2</v>
      </c>
      <c r="AK503" s="342">
        <v>27600.45</v>
      </c>
      <c r="AL503" s="784">
        <f t="shared" si="69"/>
        <v>0.68767418926777346</v>
      </c>
      <c r="AM503" s="350">
        <v>40.061210986962671</v>
      </c>
      <c r="AN503" s="350">
        <v>33.47959255124298</v>
      </c>
      <c r="AO503" s="350">
        <v>116.59892188508715</v>
      </c>
      <c r="AP503" s="639">
        <f t="shared" si="70"/>
        <v>2.5606319678824953E-2</v>
      </c>
    </row>
    <row r="504" spans="1:42" x14ac:dyDescent="0.2">
      <c r="A504" s="638">
        <v>42644</v>
      </c>
      <c r="B504" s="341" t="s">
        <v>136</v>
      </c>
      <c r="C504" s="351" t="s">
        <v>305</v>
      </c>
      <c r="D504" s="342">
        <v>43961.260004043601</v>
      </c>
      <c r="E504" s="342">
        <v>4625</v>
      </c>
      <c r="F504" s="342">
        <v>39336.260004043601</v>
      </c>
      <c r="G504" s="342">
        <v>21610.0199927092</v>
      </c>
      <c r="H504" s="342">
        <v>9448.3700008392298</v>
      </c>
      <c r="I504" s="342">
        <v>12161.649991869899</v>
      </c>
      <c r="J504" s="342">
        <v>891.86000823974598</v>
      </c>
      <c r="K504" s="343">
        <v>20718.159984469385</v>
      </c>
      <c r="L504" s="342">
        <v>12998.1600131989</v>
      </c>
      <c r="M504" s="342">
        <v>30</v>
      </c>
      <c r="N504" s="354">
        <v>273</v>
      </c>
      <c r="O504" s="343">
        <v>161.03025642506813</v>
      </c>
      <c r="P504" s="343">
        <v>113.30805857452272</v>
      </c>
      <c r="Q504" s="343">
        <v>79.15758239087593</v>
      </c>
      <c r="R504" s="344">
        <v>0.491569622679637</v>
      </c>
      <c r="S504" s="344">
        <v>0.71934514038775266</v>
      </c>
      <c r="T504" s="343">
        <v>27495.03</v>
      </c>
      <c r="U504" s="342">
        <v>25776.87</v>
      </c>
      <c r="V504" s="342">
        <v>0</v>
      </c>
      <c r="W504" s="344">
        <f t="shared" si="71"/>
        <v>0</v>
      </c>
      <c r="X504" s="342">
        <v>0</v>
      </c>
      <c r="Y504" s="344">
        <f t="shared" si="72"/>
        <v>0</v>
      </c>
      <c r="Z504" s="342">
        <v>0</v>
      </c>
      <c r="AA504" s="344">
        <f t="shared" si="65"/>
        <v>0</v>
      </c>
      <c r="AB504" s="342">
        <v>0</v>
      </c>
      <c r="AC504" s="344">
        <f t="shared" si="73"/>
        <v>0</v>
      </c>
      <c r="AD504" s="342">
        <v>1718.1599999999999</v>
      </c>
      <c r="AE504" s="342">
        <v>0</v>
      </c>
      <c r="AF504" s="344">
        <f t="shared" si="66"/>
        <v>0</v>
      </c>
      <c r="AG504" s="342">
        <v>0</v>
      </c>
      <c r="AH504" s="344">
        <f t="shared" si="67"/>
        <v>0</v>
      </c>
      <c r="AI504" s="342">
        <v>0</v>
      </c>
      <c r="AJ504" s="344">
        <f t="shared" si="68"/>
        <v>0</v>
      </c>
      <c r="AK504" s="342">
        <v>0</v>
      </c>
      <c r="AL504" s="784">
        <f t="shared" si="69"/>
        <v>0</v>
      </c>
      <c r="AM504" s="350">
        <f>IFERROR(T504/(D504+D453+D401)*90,"0.00")</f>
        <v>27.523434181777382</v>
      </c>
      <c r="AN504" s="350">
        <f>IFERROR(U504/(F504+F453+F401)*90,"0.00")</f>
        <v>28.841030841885154</v>
      </c>
      <c r="AO504" s="350">
        <f>IFERROR(AD504/(E504+E453+E401)*90,"0.00")</f>
        <v>16.330594571760479</v>
      </c>
      <c r="AP504" s="639">
        <f t="shared" si="70"/>
        <v>2.8831898791382392E-2</v>
      </c>
    </row>
    <row r="505" spans="1:42" x14ac:dyDescent="0.2">
      <c r="A505" s="638">
        <v>42644</v>
      </c>
      <c r="B505" s="341" t="s">
        <v>134</v>
      </c>
      <c r="C505" s="351" t="s">
        <v>314</v>
      </c>
      <c r="D505" s="342">
        <v>0</v>
      </c>
      <c r="E505" s="342">
        <v>0</v>
      </c>
      <c r="F505" s="342">
        <v>0</v>
      </c>
      <c r="G505" s="342">
        <v>0</v>
      </c>
      <c r="H505" s="342">
        <v>0</v>
      </c>
      <c r="I505" s="342">
        <v>0</v>
      </c>
      <c r="J505" s="342">
        <v>0</v>
      </c>
      <c r="K505" s="343">
        <v>0</v>
      </c>
      <c r="L505" s="342">
        <v>0</v>
      </c>
      <c r="M505" s="342">
        <v>0</v>
      </c>
      <c r="N505" s="354">
        <v>1</v>
      </c>
      <c r="O505" s="343">
        <v>0</v>
      </c>
      <c r="P505" s="343">
        <v>0</v>
      </c>
      <c r="Q505" s="343">
        <v>0</v>
      </c>
      <c r="R505" s="344" t="s">
        <v>312</v>
      </c>
      <c r="S505" s="344" t="s">
        <v>312</v>
      </c>
      <c r="T505" s="343">
        <v>0</v>
      </c>
      <c r="U505" s="342">
        <v>0</v>
      </c>
      <c r="V505" s="342">
        <v>0</v>
      </c>
      <c r="W505" s="344" t="str">
        <f t="shared" si="71"/>
        <v>0.00%</v>
      </c>
      <c r="X505" s="342">
        <v>0</v>
      </c>
      <c r="Y505" s="344" t="str">
        <f t="shared" si="72"/>
        <v>0.00%</v>
      </c>
      <c r="Z505" s="342">
        <v>0</v>
      </c>
      <c r="AA505" s="344">
        <f t="shared" si="65"/>
        <v>0</v>
      </c>
      <c r="AB505" s="342">
        <v>0</v>
      </c>
      <c r="AC505" s="344" t="str">
        <f t="shared" si="73"/>
        <v>0.00%</v>
      </c>
      <c r="AD505" s="342">
        <v>0</v>
      </c>
      <c r="AE505" s="342">
        <v>0</v>
      </c>
      <c r="AF505" s="344" t="str">
        <f t="shared" si="66"/>
        <v>0.00%</v>
      </c>
      <c r="AG505" s="342">
        <v>0</v>
      </c>
      <c r="AH505" s="344" t="str">
        <f t="shared" si="67"/>
        <v>0.00%</v>
      </c>
      <c r="AI505" s="342">
        <v>0</v>
      </c>
      <c r="AJ505" s="344">
        <f t="shared" si="68"/>
        <v>0</v>
      </c>
      <c r="AK505" s="342">
        <v>0</v>
      </c>
      <c r="AL505" s="784" t="str">
        <f t="shared" si="69"/>
        <v>0.00%</v>
      </c>
      <c r="AM505" s="350">
        <v>0</v>
      </c>
      <c r="AN505" s="350">
        <v>0</v>
      </c>
      <c r="AO505" s="350">
        <v>0</v>
      </c>
      <c r="AP505" s="639" t="str">
        <f t="shared" si="70"/>
        <v>0.00%</v>
      </c>
    </row>
    <row r="506" spans="1:42" x14ac:dyDescent="0.2">
      <c r="A506" s="638">
        <v>42644</v>
      </c>
      <c r="B506" s="341" t="s">
        <v>133</v>
      </c>
      <c r="C506" s="351" t="s">
        <v>167</v>
      </c>
      <c r="D506" s="342">
        <v>0</v>
      </c>
      <c r="E506" s="342">
        <v>0</v>
      </c>
      <c r="F506" s="342">
        <v>0</v>
      </c>
      <c r="G506" s="342">
        <v>0</v>
      </c>
      <c r="H506" s="342">
        <v>0</v>
      </c>
      <c r="I506" s="342">
        <v>0</v>
      </c>
      <c r="J506" s="342">
        <v>0</v>
      </c>
      <c r="K506" s="343">
        <v>0</v>
      </c>
      <c r="L506" s="342">
        <v>0</v>
      </c>
      <c r="M506" s="342">
        <v>0</v>
      </c>
      <c r="N506" s="354">
        <v>0</v>
      </c>
      <c r="O506" s="343" t="s">
        <v>311</v>
      </c>
      <c r="P506" s="343" t="s">
        <v>311</v>
      </c>
      <c r="Q506" s="343" t="s">
        <v>311</v>
      </c>
      <c r="R506" s="344" t="s">
        <v>312</v>
      </c>
      <c r="S506" s="344" t="s">
        <v>312</v>
      </c>
      <c r="T506" s="343">
        <v>2786.7999999999997</v>
      </c>
      <c r="U506" s="342">
        <v>701.18</v>
      </c>
      <c r="V506" s="342">
        <v>0</v>
      </c>
      <c r="W506" s="344">
        <f t="shared" si="71"/>
        <v>0</v>
      </c>
      <c r="X506" s="342">
        <v>0</v>
      </c>
      <c r="Y506" s="344">
        <f t="shared" si="72"/>
        <v>0</v>
      </c>
      <c r="Z506" s="342">
        <v>0</v>
      </c>
      <c r="AA506" s="344">
        <f t="shared" si="65"/>
        <v>0</v>
      </c>
      <c r="AB506" s="342">
        <v>701.18</v>
      </c>
      <c r="AC506" s="344">
        <f t="shared" si="73"/>
        <v>1</v>
      </c>
      <c r="AD506" s="342">
        <v>2085.62</v>
      </c>
      <c r="AE506" s="342">
        <v>0</v>
      </c>
      <c r="AF506" s="344">
        <f t="shared" si="66"/>
        <v>0</v>
      </c>
      <c r="AG506" s="342">
        <v>0</v>
      </c>
      <c r="AH506" s="344">
        <f t="shared" si="67"/>
        <v>0</v>
      </c>
      <c r="AI506" s="342">
        <v>0</v>
      </c>
      <c r="AJ506" s="344">
        <f t="shared" si="68"/>
        <v>0</v>
      </c>
      <c r="AK506" s="342">
        <v>2085.62</v>
      </c>
      <c r="AL506" s="784">
        <f t="shared" si="69"/>
        <v>1</v>
      </c>
      <c r="AM506" s="350">
        <v>0</v>
      </c>
      <c r="AN506" s="350">
        <v>0</v>
      </c>
      <c r="AO506" s="350" t="s">
        <v>313</v>
      </c>
      <c r="AP506" s="639" t="str">
        <f t="shared" si="70"/>
        <v>0.00%</v>
      </c>
    </row>
    <row r="507" spans="1:42" x14ac:dyDescent="0.2">
      <c r="A507" s="638">
        <v>42704</v>
      </c>
      <c r="B507" s="341" t="s">
        <v>133</v>
      </c>
      <c r="C507" s="351" t="s">
        <v>162</v>
      </c>
      <c r="D507" s="342">
        <v>157158.72001724143</v>
      </c>
      <c r="E507" s="342">
        <v>6766</v>
      </c>
      <c r="F507" s="342">
        <v>150392.72001724143</v>
      </c>
      <c r="G507" s="342">
        <v>106306.429820135</v>
      </c>
      <c r="H507" s="342">
        <v>60011.669797852599</v>
      </c>
      <c r="I507" s="342">
        <v>46294.7600222826</v>
      </c>
      <c r="J507" s="342">
        <v>7072.8900591134998</v>
      </c>
      <c r="K507" s="343">
        <f t="shared" ref="K507:K557" si="74">SUM(H507:I507)-J507</f>
        <v>99233.539761021704</v>
      </c>
      <c r="L507" s="342">
        <v>67198.770078420595</v>
      </c>
      <c r="M507" s="342">
        <v>14084.1699761897</v>
      </c>
      <c r="N507" s="354">
        <v>851</v>
      </c>
      <c r="O507" s="343">
        <f t="shared" ref="O507:O570" si="75">IFERROR(SUM(E507:F507)/N507,"$0.00")</f>
        <v>184.67534667125904</v>
      </c>
      <c r="P507" s="343">
        <f t="shared" ref="P507:P570" si="76">IFERROR((E507+F507-L507-M507)/N507,"$0.00")</f>
        <v>89.160728510729882</v>
      </c>
      <c r="Q507" s="343">
        <f t="shared" ref="Q507:Q570" si="77">IFERROR((H507+I507)/N507,"$0.00")</f>
        <v>124.91942399545853</v>
      </c>
      <c r="R507" s="344">
        <f t="shared" ref="R507:R570" si="78">IFERROR((H507+I507)/(E507+F507),"0.00%")</f>
        <v>0.6764271801683841</v>
      </c>
      <c r="S507" s="344">
        <f t="shared" ref="S507:S570" si="79">IFERROR((H507+I507)/(F507+E507-L507-M507-J507),"0.00%")</f>
        <v>1.545086695765379</v>
      </c>
      <c r="T507" s="343">
        <f t="shared" ref="T507:T570" si="80">+U507+AD507</f>
        <v>155571.19</v>
      </c>
      <c r="U507" s="342">
        <v>112544.72</v>
      </c>
      <c r="V507" s="342">
        <v>3897.95</v>
      </c>
      <c r="W507" s="344">
        <f t="shared" si="71"/>
        <v>3.4634676775596403E-2</v>
      </c>
      <c r="X507" s="342">
        <v>2244.94</v>
      </c>
      <c r="Y507" s="344">
        <f t="shared" si="72"/>
        <v>1.994709303110799E-2</v>
      </c>
      <c r="Z507" s="342">
        <v>3148.87</v>
      </c>
      <c r="AA507" s="344">
        <f t="shared" si="65"/>
        <v>2.797883365830045E-2</v>
      </c>
      <c r="AB507" s="342">
        <v>9787.7200000000012</v>
      </c>
      <c r="AC507" s="344">
        <f t="shared" si="73"/>
        <v>8.6967385053692448E-2</v>
      </c>
      <c r="AD507" s="342">
        <v>43026.47</v>
      </c>
      <c r="AE507" s="342">
        <v>2793.4</v>
      </c>
      <c r="AF507" s="344">
        <f t="shared" si="66"/>
        <v>6.4922825414215943E-2</v>
      </c>
      <c r="AG507" s="342">
        <v>2488.4</v>
      </c>
      <c r="AH507" s="344">
        <f t="shared" si="67"/>
        <v>5.7834165805375155E-2</v>
      </c>
      <c r="AI507" s="342">
        <v>3225.77</v>
      </c>
      <c r="AJ507" s="344">
        <f t="shared" si="68"/>
        <v>7.4971755758722475E-2</v>
      </c>
      <c r="AK507" s="342">
        <v>20769.400000000001</v>
      </c>
      <c r="AL507" s="784">
        <f t="shared" si="69"/>
        <v>0.4827121537044522</v>
      </c>
      <c r="AM507" s="350">
        <f>IFERROR(T507/(D507+D455+D404)*90,"0.00")</f>
        <v>29.248641357640626</v>
      </c>
      <c r="AN507" s="350">
        <f>IFERROR(U507/(F507+F455+F404)*90,"0.00")</f>
        <v>22.426125810872939</v>
      </c>
      <c r="AO507" s="350">
        <f>IFERROR(AD507/(E507+E455+E404)*90,"0.00")</f>
        <v>143.20410857586629</v>
      </c>
      <c r="AP507" s="639">
        <f t="shared" si="70"/>
        <v>9.3216703177178575E-2</v>
      </c>
    </row>
    <row r="508" spans="1:42" x14ac:dyDescent="0.2">
      <c r="A508" s="638">
        <v>42704</v>
      </c>
      <c r="B508" s="341" t="s">
        <v>133</v>
      </c>
      <c r="C508" s="351" t="s">
        <v>164</v>
      </c>
      <c r="D508" s="342">
        <v>198624.28000795099</v>
      </c>
      <c r="E508" s="342">
        <v>15452</v>
      </c>
      <c r="F508" s="342">
        <v>183172.28000795099</v>
      </c>
      <c r="G508" s="342">
        <v>131287.579840183</v>
      </c>
      <c r="H508" s="342">
        <v>68403.389757156401</v>
      </c>
      <c r="I508" s="342">
        <v>62884.190083026901</v>
      </c>
      <c r="J508" s="342">
        <v>11844.5001437664</v>
      </c>
      <c r="K508" s="343">
        <f t="shared" si="74"/>
        <v>119443.07969641691</v>
      </c>
      <c r="L508" s="342">
        <v>85069.700137404696</v>
      </c>
      <c r="M508" s="342">
        <v>15565.2899798453</v>
      </c>
      <c r="N508" s="354">
        <v>923</v>
      </c>
      <c r="O508" s="343">
        <f t="shared" si="75"/>
        <v>215.19423619496317</v>
      </c>
      <c r="P508" s="343">
        <f t="shared" si="76"/>
        <v>106.16391104084614</v>
      </c>
      <c r="Q508" s="343">
        <f t="shared" si="77"/>
        <v>142.24006483226796</v>
      </c>
      <c r="R508" s="344">
        <f t="shared" si="78"/>
        <v>0.66098454748295543</v>
      </c>
      <c r="S508" s="344">
        <f t="shared" si="79"/>
        <v>1.5240338995064424</v>
      </c>
      <c r="T508" s="343">
        <f t="shared" si="80"/>
        <v>208688.87</v>
      </c>
      <c r="U508" s="342">
        <v>164191.81999999998</v>
      </c>
      <c r="V508" s="342">
        <v>4547.74</v>
      </c>
      <c r="W508" s="344">
        <f t="shared" si="71"/>
        <v>2.769772574541168E-2</v>
      </c>
      <c r="X508" s="342">
        <v>6811.25</v>
      </c>
      <c r="Y508" s="344">
        <f t="shared" si="72"/>
        <v>4.148349168673568E-2</v>
      </c>
      <c r="Z508" s="342">
        <v>5108.5600000000004</v>
      </c>
      <c r="AA508" s="344">
        <f t="shared" si="65"/>
        <v>3.111336484363229E-2</v>
      </c>
      <c r="AB508" s="342">
        <v>13330.88</v>
      </c>
      <c r="AC508" s="344">
        <f t="shared" si="73"/>
        <v>8.1190890021195949E-2</v>
      </c>
      <c r="AD508" s="342">
        <v>44497.05</v>
      </c>
      <c r="AE508" s="342">
        <v>3181.69</v>
      </c>
      <c r="AF508" s="344">
        <f t="shared" si="66"/>
        <v>7.1503391797883231E-2</v>
      </c>
      <c r="AG508" s="342">
        <v>2836.25</v>
      </c>
      <c r="AH508" s="344">
        <f t="shared" si="67"/>
        <v>6.3740180528821563E-2</v>
      </c>
      <c r="AI508" s="342">
        <v>2484.7600000000002</v>
      </c>
      <c r="AJ508" s="344">
        <f t="shared" si="68"/>
        <v>5.5841005190231711E-2</v>
      </c>
      <c r="AK508" s="342">
        <v>18159.55</v>
      </c>
      <c r="AL508" s="784">
        <f t="shared" si="69"/>
        <v>0.40810682955386923</v>
      </c>
      <c r="AM508" s="350">
        <f>IFERROR(T508/(D508+D457+D406)*90,"0.00")</f>
        <v>30.79969642947065</v>
      </c>
      <c r="AN508" s="350">
        <f>IFERROR(U508/(F508+F457+F406)*90,"0.00")</f>
        <v>26.20239494765762</v>
      </c>
      <c r="AO508" s="350">
        <f>IFERROR(AD508/(E508+E457+E406)*90,"0.00")</f>
        <v>87.353789944377809</v>
      </c>
      <c r="AP508" s="639">
        <f t="shared" si="70"/>
        <v>0.12087545646037405</v>
      </c>
    </row>
    <row r="509" spans="1:42" x14ac:dyDescent="0.2">
      <c r="A509" s="638">
        <v>42704</v>
      </c>
      <c r="B509" s="341" t="s">
        <v>133</v>
      </c>
      <c r="C509" s="351" t="s">
        <v>169</v>
      </c>
      <c r="D509" s="342">
        <v>218931.650012778</v>
      </c>
      <c r="E509" s="342">
        <v>9827</v>
      </c>
      <c r="F509" s="342">
        <v>209104.650012778</v>
      </c>
      <c r="G509" s="342">
        <v>130866.309958994</v>
      </c>
      <c r="H509" s="342">
        <v>81119.229938507095</v>
      </c>
      <c r="I509" s="342">
        <v>49747.080020487301</v>
      </c>
      <c r="J509" s="342">
        <v>9913.2701714038794</v>
      </c>
      <c r="K509" s="343">
        <f t="shared" si="74"/>
        <v>120953.0397875905</v>
      </c>
      <c r="L509" s="342">
        <v>84636.000141382203</v>
      </c>
      <c r="M509" s="342">
        <v>17482.949984000999</v>
      </c>
      <c r="N509" s="354">
        <v>989</v>
      </c>
      <c r="O509" s="343">
        <f t="shared" si="75"/>
        <v>221.36668353162588</v>
      </c>
      <c r="P509" s="343">
        <f t="shared" si="76"/>
        <v>118.11193112982284</v>
      </c>
      <c r="Q509" s="343">
        <f t="shared" si="77"/>
        <v>132.32185031243114</v>
      </c>
      <c r="R509" s="344">
        <f t="shared" si="78"/>
        <v>0.5977496170670451</v>
      </c>
      <c r="S509" s="344">
        <f t="shared" si="79"/>
        <v>1.224200262870236</v>
      </c>
      <c r="T509" s="343">
        <f t="shared" si="80"/>
        <v>262296.68000000005</v>
      </c>
      <c r="U509" s="342">
        <v>198347.78000000003</v>
      </c>
      <c r="V509" s="342">
        <v>5221.45</v>
      </c>
      <c r="W509" s="344">
        <f t="shared" si="71"/>
        <v>2.6324721153924684E-2</v>
      </c>
      <c r="X509" s="342">
        <v>4242.26</v>
      </c>
      <c r="Y509" s="344">
        <f t="shared" si="72"/>
        <v>2.1387988310229637E-2</v>
      </c>
      <c r="Z509" s="342">
        <v>6193.3</v>
      </c>
      <c r="AA509" s="344">
        <f t="shared" si="65"/>
        <v>3.1224448289766588E-2</v>
      </c>
      <c r="AB509" s="342">
        <v>15555.11</v>
      </c>
      <c r="AC509" s="344">
        <f t="shared" si="73"/>
        <v>7.842341366260816E-2</v>
      </c>
      <c r="AD509" s="342">
        <v>63948.9</v>
      </c>
      <c r="AE509" s="342">
        <v>4159.33</v>
      </c>
      <c r="AF509" s="344">
        <f t="shared" si="66"/>
        <v>6.5041462792948743E-2</v>
      </c>
      <c r="AG509" s="342">
        <v>2525.0700000000002</v>
      </c>
      <c r="AH509" s="344">
        <f t="shared" si="67"/>
        <v>3.948574565004246E-2</v>
      </c>
      <c r="AI509" s="342">
        <v>3652.46</v>
      </c>
      <c r="AJ509" s="344">
        <f t="shared" si="68"/>
        <v>5.7115290489750406E-2</v>
      </c>
      <c r="AK509" s="342">
        <v>32961.19</v>
      </c>
      <c r="AL509" s="784">
        <f t="shared" si="69"/>
        <v>0.51543013249641512</v>
      </c>
      <c r="AM509" s="350">
        <f>IFERROR(T509/(D509+D462+D411)*90,"0.00")</f>
        <v>35.782802865638516</v>
      </c>
      <c r="AN509" s="350">
        <f>IFERROR(U509/(F509+F462+F411)*90,"0.00")</f>
        <v>28.4800136778954</v>
      </c>
      <c r="AO509" s="350">
        <f>IFERROR(AD509/(E509+E462+E411)*90,"0.00")</f>
        <v>174.82461043103186</v>
      </c>
      <c r="AP509" s="639">
        <f t="shared" si="70"/>
        <v>8.4864660956900081E-2</v>
      </c>
    </row>
    <row r="510" spans="1:42" x14ac:dyDescent="0.2">
      <c r="A510" s="638">
        <v>42704</v>
      </c>
      <c r="B510" s="341" t="s">
        <v>133</v>
      </c>
      <c r="C510" s="351" t="s">
        <v>166</v>
      </c>
      <c r="D510" s="342">
        <v>331624.100007931</v>
      </c>
      <c r="E510" s="342">
        <v>16703</v>
      </c>
      <c r="F510" s="342">
        <v>314921.100007931</v>
      </c>
      <c r="G510" s="342">
        <v>202797.42945952</v>
      </c>
      <c r="H510" s="342">
        <v>113073.949398845</v>
      </c>
      <c r="I510" s="342">
        <v>89723.480060674294</v>
      </c>
      <c r="J510" s="342">
        <v>15867.140119679299</v>
      </c>
      <c r="K510" s="343">
        <f t="shared" si="74"/>
        <v>186930.28933983998</v>
      </c>
      <c r="L510" s="342">
        <v>131750.88041592599</v>
      </c>
      <c r="M510" s="342">
        <v>24410.549971718301</v>
      </c>
      <c r="N510" s="354">
        <v>1465</v>
      </c>
      <c r="O510" s="343">
        <f t="shared" si="75"/>
        <v>226.36457338425325</v>
      </c>
      <c r="P510" s="343">
        <f t="shared" si="76"/>
        <v>119.76974035514451</v>
      </c>
      <c r="Q510" s="343">
        <f t="shared" si="77"/>
        <v>138.42827949455241</v>
      </c>
      <c r="R510" s="344">
        <f t="shared" si="78"/>
        <v>0.61152802059521383</v>
      </c>
      <c r="S510" s="344">
        <f t="shared" si="79"/>
        <v>1.2706961786091098</v>
      </c>
      <c r="T510" s="343">
        <f t="shared" si="80"/>
        <v>327791.40999999997</v>
      </c>
      <c r="U510" s="342">
        <v>246745.89999999997</v>
      </c>
      <c r="V510" s="342">
        <v>6016.98</v>
      </c>
      <c r="W510" s="344">
        <f t="shared" si="71"/>
        <v>2.4385329198985679E-2</v>
      </c>
      <c r="X510" s="342">
        <v>6456.02</v>
      </c>
      <c r="Y510" s="344">
        <f t="shared" si="72"/>
        <v>2.6164649544328806E-2</v>
      </c>
      <c r="Z510" s="342">
        <v>7067.3</v>
      </c>
      <c r="AA510" s="344">
        <f t="shared" si="65"/>
        <v>2.864201593623238E-2</v>
      </c>
      <c r="AB510" s="342">
        <v>19111.14</v>
      </c>
      <c r="AC510" s="344">
        <f t="shared" si="73"/>
        <v>7.7452715526377544E-2</v>
      </c>
      <c r="AD510" s="342">
        <v>81045.510000000009</v>
      </c>
      <c r="AE510" s="342">
        <v>5485.7</v>
      </c>
      <c r="AF510" s="344">
        <f t="shared" si="66"/>
        <v>6.7686661481925398E-2</v>
      </c>
      <c r="AG510" s="342">
        <v>4190.71</v>
      </c>
      <c r="AH510" s="344">
        <f t="shared" si="67"/>
        <v>5.1708108197480646E-2</v>
      </c>
      <c r="AI510" s="342">
        <v>4620.26</v>
      </c>
      <c r="AJ510" s="344">
        <f t="shared" si="68"/>
        <v>5.7008216741433297E-2</v>
      </c>
      <c r="AK510" s="342">
        <v>42708.08</v>
      </c>
      <c r="AL510" s="784">
        <f t="shared" si="69"/>
        <v>0.52696417111817784</v>
      </c>
      <c r="AM510" s="350">
        <f>IFERROR(T510/(D510+D459+D408)*90,"0.00")</f>
        <v>31.333447749716377</v>
      </c>
      <c r="AN510" s="350">
        <f>IFERROR(U510/(F510+F459+F408)*90,"0.00")</f>
        <v>24.961151787545894</v>
      </c>
      <c r="AO510" s="350">
        <f>IFERROR(AD510/(E510+E459+E408)*90,"0.00")</f>
        <v>140.65690771597599</v>
      </c>
      <c r="AP510" s="639">
        <f t="shared" si="70"/>
        <v>9.0430290123915721E-2</v>
      </c>
    </row>
    <row r="511" spans="1:42" x14ac:dyDescent="0.2">
      <c r="A511" s="638">
        <v>42704</v>
      </c>
      <c r="B511" s="341" t="s">
        <v>133</v>
      </c>
      <c r="C511" s="351" t="s">
        <v>171</v>
      </c>
      <c r="D511" s="342">
        <v>195254.38999973101</v>
      </c>
      <c r="E511" s="342">
        <v>7328</v>
      </c>
      <c r="F511" s="342">
        <v>187926.38999973101</v>
      </c>
      <c r="G511" s="342">
        <v>120447.44972494199</v>
      </c>
      <c r="H511" s="342">
        <v>78017.899710982994</v>
      </c>
      <c r="I511" s="342">
        <v>42429.550013959401</v>
      </c>
      <c r="J511" s="342">
        <v>9940.0801649093592</v>
      </c>
      <c r="K511" s="343">
        <f t="shared" si="74"/>
        <v>110507.36956003302</v>
      </c>
      <c r="L511" s="342">
        <v>86913.350166816293</v>
      </c>
      <c r="M511" s="342">
        <v>22280.849973321001</v>
      </c>
      <c r="N511" s="354">
        <v>998</v>
      </c>
      <c r="O511" s="343">
        <f t="shared" si="75"/>
        <v>195.64568136245592</v>
      </c>
      <c r="P511" s="343">
        <f t="shared" si="76"/>
        <v>86.232655169933579</v>
      </c>
      <c r="Q511" s="343">
        <f t="shared" si="77"/>
        <v>120.68882737970179</v>
      </c>
      <c r="R511" s="344">
        <f t="shared" si="78"/>
        <v>0.6168744770609681</v>
      </c>
      <c r="S511" s="344">
        <f t="shared" si="79"/>
        <v>1.5823341585824531</v>
      </c>
      <c r="T511" s="343">
        <f t="shared" si="80"/>
        <v>267150.66000000003</v>
      </c>
      <c r="U511" s="342">
        <v>192769.04000000004</v>
      </c>
      <c r="V511" s="342">
        <v>5796.67</v>
      </c>
      <c r="W511" s="344">
        <f t="shared" si="71"/>
        <v>3.0070544523124663E-2</v>
      </c>
      <c r="X511" s="342">
        <v>4504.91</v>
      </c>
      <c r="Y511" s="344">
        <f t="shared" si="72"/>
        <v>2.3369468458212993E-2</v>
      </c>
      <c r="Z511" s="342">
        <v>6953.64</v>
      </c>
      <c r="AA511" s="344">
        <f t="shared" si="65"/>
        <v>3.6072390047696454E-2</v>
      </c>
      <c r="AB511" s="342">
        <v>14860.54</v>
      </c>
      <c r="AC511" s="344">
        <f t="shared" si="73"/>
        <v>7.7089868788058485E-2</v>
      </c>
      <c r="AD511" s="342">
        <v>74381.62</v>
      </c>
      <c r="AE511" s="342">
        <v>5314.31</v>
      </c>
      <c r="AF511" s="344">
        <f t="shared" si="66"/>
        <v>7.144654821984249E-2</v>
      </c>
      <c r="AG511" s="342">
        <v>2991.4</v>
      </c>
      <c r="AH511" s="344">
        <f t="shared" si="67"/>
        <v>4.0216924557437715E-2</v>
      </c>
      <c r="AI511" s="342">
        <v>5288.47</v>
      </c>
      <c r="AJ511" s="344">
        <f t="shared" si="68"/>
        <v>7.1099150569724087E-2</v>
      </c>
      <c r="AK511" s="342">
        <v>40930.97</v>
      </c>
      <c r="AL511" s="784">
        <f t="shared" si="69"/>
        <v>0.55028338990196779</v>
      </c>
      <c r="AM511" s="350">
        <f>IFERROR(T511/(D511+D464+D413)*90,"0.00")</f>
        <v>37.874006603662743</v>
      </c>
      <c r="AN511" s="350">
        <f>IFERROR(U511/(F511+F464+F413)*90,"0.00")</f>
        <v>28.858139927400902</v>
      </c>
      <c r="AO511" s="350">
        <f>IFERROR(AD511/(E511+E464+E413)*90,"0.00")</f>
        <v>198.99662014536048</v>
      </c>
      <c r="AP511" s="639">
        <f t="shared" si="70"/>
        <v>0.1155014900748708</v>
      </c>
    </row>
    <row r="512" spans="1:42" x14ac:dyDescent="0.2">
      <c r="A512" s="638">
        <v>42704</v>
      </c>
      <c r="B512" s="341" t="s">
        <v>133</v>
      </c>
      <c r="C512" s="351" t="s">
        <v>174</v>
      </c>
      <c r="D512" s="342">
        <v>174682.02000715199</v>
      </c>
      <c r="E512" s="342">
        <v>10837</v>
      </c>
      <c r="F512" s="342">
        <v>163845.02000715199</v>
      </c>
      <c r="G512" s="342">
        <v>115544.069915222</v>
      </c>
      <c r="H512" s="342">
        <v>64634.129895865903</v>
      </c>
      <c r="I512" s="342">
        <v>50909.940019356101</v>
      </c>
      <c r="J512" s="342">
        <v>8547.8801231384296</v>
      </c>
      <c r="K512" s="343">
        <f t="shared" si="74"/>
        <v>106996.18979208358</v>
      </c>
      <c r="L512" s="342">
        <v>82799.680084615902</v>
      </c>
      <c r="M512" s="342">
        <v>14075.849992990499</v>
      </c>
      <c r="N512" s="354">
        <v>792</v>
      </c>
      <c r="O512" s="343">
        <f t="shared" si="75"/>
        <v>220.55810606963635</v>
      </c>
      <c r="P512" s="343">
        <f t="shared" si="76"/>
        <v>98.240517587810103</v>
      </c>
      <c r="Q512" s="343">
        <f t="shared" si="77"/>
        <v>145.88897716568434</v>
      </c>
      <c r="R512" s="344">
        <f t="shared" si="78"/>
        <v>0.66145370834669359</v>
      </c>
      <c r="S512" s="344">
        <f t="shared" si="79"/>
        <v>1.6682990062635206</v>
      </c>
      <c r="T512" s="343">
        <f t="shared" si="80"/>
        <v>205559.31000000003</v>
      </c>
      <c r="U512" s="342">
        <v>146143.88000000003</v>
      </c>
      <c r="V512" s="342">
        <v>4781.08</v>
      </c>
      <c r="W512" s="344">
        <f t="shared" si="71"/>
        <v>3.2714883442262505E-2</v>
      </c>
      <c r="X512" s="342">
        <v>2562.63</v>
      </c>
      <c r="Y512" s="344">
        <f t="shared" si="72"/>
        <v>1.7534979911577545E-2</v>
      </c>
      <c r="Z512" s="342">
        <v>5188.01</v>
      </c>
      <c r="AA512" s="344">
        <f t="shared" si="65"/>
        <v>3.5499331207026932E-2</v>
      </c>
      <c r="AB512" s="342">
        <v>10938.04</v>
      </c>
      <c r="AC512" s="344">
        <f t="shared" si="73"/>
        <v>7.4844324647737548E-2</v>
      </c>
      <c r="AD512" s="342">
        <v>59415.43</v>
      </c>
      <c r="AE512" s="342">
        <v>4330.6099999999997</v>
      </c>
      <c r="AF512" s="344">
        <f t="shared" si="66"/>
        <v>7.2886958825342171E-2</v>
      </c>
      <c r="AG512" s="342">
        <v>2807.31</v>
      </c>
      <c r="AH512" s="344">
        <f t="shared" si="67"/>
        <v>4.7248837549437914E-2</v>
      </c>
      <c r="AI512" s="342">
        <v>4246.66</v>
      </c>
      <c r="AJ512" s="344">
        <f t="shared" si="68"/>
        <v>7.1474026191512871E-2</v>
      </c>
      <c r="AK512" s="342">
        <v>26549.32</v>
      </c>
      <c r="AL512" s="784">
        <f t="shared" si="69"/>
        <v>0.4468421755089545</v>
      </c>
      <c r="AM512" s="350">
        <f>IFERROR(T512/(D512+D467+D416)*90,"0.00")</f>
        <v>31.163044207500949</v>
      </c>
      <c r="AN512" s="350">
        <f>IFERROR(U512/(F512+F467+F416)*90,"0.00")</f>
        <v>23.509838930614826</v>
      </c>
      <c r="AO512" s="350">
        <f>IFERROR(AD512/(E512+E467+E416)*90,"0.00")</f>
        <v>156.37011141328188</v>
      </c>
      <c r="AP512" s="639">
        <f t="shared" si="70"/>
        <v>0.10986076008413442</v>
      </c>
    </row>
    <row r="513" spans="1:42" x14ac:dyDescent="0.2">
      <c r="A513" s="638">
        <v>42704</v>
      </c>
      <c r="B513" s="341" t="s">
        <v>133</v>
      </c>
      <c r="C513" s="351" t="s">
        <v>173</v>
      </c>
      <c r="D513" s="342">
        <v>209882.89000682699</v>
      </c>
      <c r="E513" s="342">
        <v>20164</v>
      </c>
      <c r="F513" s="342">
        <v>189718.89000682699</v>
      </c>
      <c r="G513" s="342">
        <v>131344.91982749099</v>
      </c>
      <c r="H513" s="342">
        <v>71843.159798711495</v>
      </c>
      <c r="I513" s="342">
        <v>59501.760028779499</v>
      </c>
      <c r="J513" s="342">
        <v>10847.150178432499</v>
      </c>
      <c r="K513" s="343">
        <f t="shared" si="74"/>
        <v>120497.76964905849</v>
      </c>
      <c r="L513" s="342">
        <v>84994.630325088307</v>
      </c>
      <c r="M513" s="342">
        <v>29030.399976581299</v>
      </c>
      <c r="N513" s="354">
        <v>1106</v>
      </c>
      <c r="O513" s="343">
        <f t="shared" si="75"/>
        <v>189.7675316517423</v>
      </c>
      <c r="P513" s="343">
        <f t="shared" si="76"/>
        <v>86.670759227086236</v>
      </c>
      <c r="Q513" s="343">
        <f t="shared" si="77"/>
        <v>118.75670870478389</v>
      </c>
      <c r="R513" s="344">
        <f t="shared" si="78"/>
        <v>0.6258009875088848</v>
      </c>
      <c r="S513" s="344">
        <f t="shared" si="79"/>
        <v>1.5450396845141021</v>
      </c>
      <c r="T513" s="343">
        <f t="shared" si="80"/>
        <v>265468.98</v>
      </c>
      <c r="U513" s="342">
        <v>179742.37999999998</v>
      </c>
      <c r="V513" s="342">
        <v>5883.24</v>
      </c>
      <c r="W513" s="344">
        <f t="shared" si="71"/>
        <v>3.2731512735060038E-2</v>
      </c>
      <c r="X513" s="342">
        <v>5125.74</v>
      </c>
      <c r="Y513" s="344">
        <f t="shared" si="72"/>
        <v>2.8517147708848632E-2</v>
      </c>
      <c r="Z513" s="342">
        <v>3925.3</v>
      </c>
      <c r="AA513" s="344">
        <f t="shared" si="65"/>
        <v>2.1838477937145377E-2</v>
      </c>
      <c r="AB513" s="342">
        <v>13509.47</v>
      </c>
      <c r="AC513" s="344">
        <f t="shared" si="73"/>
        <v>7.5160182033864251E-2</v>
      </c>
      <c r="AD513" s="342">
        <v>85726.6</v>
      </c>
      <c r="AE513" s="342">
        <v>5035.29</v>
      </c>
      <c r="AF513" s="344">
        <f t="shared" si="66"/>
        <v>5.8736611506813516E-2</v>
      </c>
      <c r="AG513" s="342">
        <v>4196.54</v>
      </c>
      <c r="AH513" s="344">
        <f t="shared" si="67"/>
        <v>4.8952600476398218E-2</v>
      </c>
      <c r="AI513" s="342">
        <v>5347.9</v>
      </c>
      <c r="AJ513" s="344">
        <f t="shared" si="68"/>
        <v>6.2383204279651813E-2</v>
      </c>
      <c r="AK513" s="342">
        <v>50221.29</v>
      </c>
      <c r="AL513" s="784">
        <f t="shared" si="69"/>
        <v>0.5858308856294312</v>
      </c>
      <c r="AM513" s="350">
        <f>IFERROR(T513/(D513+D466+D415)*90,"0.00")</f>
        <v>35.157082821768263</v>
      </c>
      <c r="AN513" s="350">
        <f>IFERROR(U513/(F513+F466+F415)*90,"0.00")</f>
        <v>26.108585752170132</v>
      </c>
      <c r="AO513" s="350">
        <f>IFERROR(AD513/(E513+E466+E415)*90,"0.00")</f>
        <v>128.61776718288962</v>
      </c>
      <c r="AP513" s="639">
        <f t="shared" si="70"/>
        <v>0.1131586936303033</v>
      </c>
    </row>
    <row r="514" spans="1:42" x14ac:dyDescent="0.2">
      <c r="A514" s="638">
        <v>42704</v>
      </c>
      <c r="B514" s="341" t="s">
        <v>133</v>
      </c>
      <c r="C514" s="351" t="s">
        <v>177</v>
      </c>
      <c r="D514" s="342">
        <v>161411.74001171099</v>
      </c>
      <c r="E514" s="342">
        <v>8977</v>
      </c>
      <c r="F514" s="342">
        <v>152434.74001171099</v>
      </c>
      <c r="G514" s="342">
        <v>114181.249855766</v>
      </c>
      <c r="H514" s="342">
        <v>65147.189822673798</v>
      </c>
      <c r="I514" s="342">
        <v>49034.060033092297</v>
      </c>
      <c r="J514" s="342">
        <v>10265.6300396919</v>
      </c>
      <c r="K514" s="343">
        <f t="shared" si="74"/>
        <v>103915.61981607421</v>
      </c>
      <c r="L514" s="342">
        <v>75730.120086669893</v>
      </c>
      <c r="M514" s="342">
        <v>12069.699987649899</v>
      </c>
      <c r="N514" s="354">
        <v>746</v>
      </c>
      <c r="O514" s="343">
        <f t="shared" si="75"/>
        <v>216.36962468057774</v>
      </c>
      <c r="P514" s="343">
        <f t="shared" si="76"/>
        <v>98.675495894626266</v>
      </c>
      <c r="Q514" s="343">
        <f t="shared" si="77"/>
        <v>153.05797567797066</v>
      </c>
      <c r="R514" s="344">
        <f t="shared" si="78"/>
        <v>0.70739123342256172</v>
      </c>
      <c r="S514" s="344">
        <f t="shared" si="79"/>
        <v>1.8024930906002925</v>
      </c>
      <c r="T514" s="343">
        <f t="shared" si="80"/>
        <v>146080.60999999999</v>
      </c>
      <c r="U514" s="342">
        <v>109150.19</v>
      </c>
      <c r="V514" s="342">
        <v>6063</v>
      </c>
      <c r="W514" s="344">
        <f t="shared" si="71"/>
        <v>5.5547315126066199E-2</v>
      </c>
      <c r="X514" s="342">
        <v>4384.97</v>
      </c>
      <c r="Y514" s="344">
        <f t="shared" si="72"/>
        <v>4.0173727594977164E-2</v>
      </c>
      <c r="Z514" s="342">
        <v>1852.2</v>
      </c>
      <c r="AA514" s="344">
        <f t="shared" ref="AA514:AA577" si="81">IFERROR(Z514/U514,"0.00"%)</f>
        <v>1.6969278752515228E-2</v>
      </c>
      <c r="AB514" s="342">
        <v>7139.05</v>
      </c>
      <c r="AC514" s="344">
        <f t="shared" si="73"/>
        <v>6.5405749637265864E-2</v>
      </c>
      <c r="AD514" s="342">
        <v>36930.42</v>
      </c>
      <c r="AE514" s="342">
        <v>2861.62</v>
      </c>
      <c r="AF514" s="344">
        <f t="shared" ref="AF514:AF577" si="82">IFERROR(AE514/AD514,"0.00%")</f>
        <v>7.7486798146351982E-2</v>
      </c>
      <c r="AG514" s="342">
        <v>2147.5</v>
      </c>
      <c r="AH514" s="344">
        <f t="shared" ref="AH514:AH577" si="83">IFERROR(AG514/AD514,"0.00%")</f>
        <v>5.8149893773209192E-2</v>
      </c>
      <c r="AI514" s="342">
        <v>1747.85</v>
      </c>
      <c r="AJ514" s="344">
        <f t="shared" ref="AJ514:AJ577" si="84">IFERROR(AI514/AD514,"0.00"%)</f>
        <v>4.7328191772527908E-2</v>
      </c>
      <c r="AK514" s="342">
        <v>14236.63</v>
      </c>
      <c r="AL514" s="784">
        <f t="shared" ref="AL514:AL577" si="85">IFERROR(AK514/AD514,"0.00%")</f>
        <v>0.38549872977344962</v>
      </c>
      <c r="AM514" s="350">
        <f>IFERROR(T514/(D514+D470+D419)*90,"0.00")</f>
        <v>23.035180961040005</v>
      </c>
      <c r="AN514" s="350">
        <f>IFERROR(U514/(F514+DF70+F419)*90,"0.00")</f>
        <v>28.895377823005717</v>
      </c>
      <c r="AO514" s="350">
        <f>IFERROR(AD514/(E514+E470+E419)*90,"0.00")</f>
        <v>105.7679521373733</v>
      </c>
      <c r="AP514" s="639">
        <f t="shared" ref="AP514:AP577" si="86">IFERROR(J514/(D514-L514-M514),"0.00%")</f>
        <v>0.13945608331399423</v>
      </c>
    </row>
    <row r="515" spans="1:42" x14ac:dyDescent="0.2">
      <c r="A515" s="638">
        <v>42704</v>
      </c>
      <c r="B515" s="341" t="s">
        <v>135</v>
      </c>
      <c r="C515" s="351" t="s">
        <v>181</v>
      </c>
      <c r="D515" s="342">
        <v>108646.809997559</v>
      </c>
      <c r="E515" s="342">
        <v>6002</v>
      </c>
      <c r="F515" s="342">
        <v>102644.809997559</v>
      </c>
      <c r="G515" s="342">
        <v>63772.790435999603</v>
      </c>
      <c r="H515" s="342">
        <v>36976.6703288555</v>
      </c>
      <c r="I515" s="342">
        <v>26796.120107144099</v>
      </c>
      <c r="J515" s="342">
        <v>13932.1001091003</v>
      </c>
      <c r="K515" s="343">
        <f t="shared" si="74"/>
        <v>49840.690326899305</v>
      </c>
      <c r="L515" s="342">
        <v>53396.209532737703</v>
      </c>
      <c r="M515" s="342">
        <v>7533.4600000679502</v>
      </c>
      <c r="N515" s="354">
        <v>778</v>
      </c>
      <c r="O515" s="343">
        <f t="shared" si="75"/>
        <v>139.64885603799357</v>
      </c>
      <c r="P515" s="343">
        <f t="shared" si="76"/>
        <v>61.333085430274231</v>
      </c>
      <c r="Q515" s="343">
        <f t="shared" si="77"/>
        <v>81.970167655526481</v>
      </c>
      <c r="R515" s="344">
        <f t="shared" si="78"/>
        <v>0.58697342736001545</v>
      </c>
      <c r="S515" s="344">
        <f t="shared" si="79"/>
        <v>1.8876043883525768</v>
      </c>
      <c r="T515" s="343">
        <f t="shared" si="80"/>
        <v>124180.01000000001</v>
      </c>
      <c r="U515" s="342">
        <v>94467.790000000008</v>
      </c>
      <c r="V515" s="342">
        <v>2856.36</v>
      </c>
      <c r="W515" s="344">
        <f t="shared" ref="W515:W578" si="87">IFERROR(V515/U515,"0.00%")</f>
        <v>3.0236337697748618E-2</v>
      </c>
      <c r="X515" s="342">
        <v>3594.05</v>
      </c>
      <c r="Y515" s="344">
        <f t="shared" ref="Y515:Y578" si="88">IFERROR(X515/U515,"0.00%")</f>
        <v>3.8045242722413636E-2</v>
      </c>
      <c r="Z515" s="342">
        <v>1812.27</v>
      </c>
      <c r="AA515" s="344">
        <f t="shared" si="81"/>
        <v>1.9183999117582826E-2</v>
      </c>
      <c r="AB515" s="342">
        <v>6664.5</v>
      </c>
      <c r="AC515" s="344">
        <f t="shared" ref="AC515:AC578" si="89">IFERROR(AB515/U515,"0.00%")</f>
        <v>7.0547855517737845E-2</v>
      </c>
      <c r="AD515" s="342">
        <v>29712.22</v>
      </c>
      <c r="AE515" s="342">
        <v>2092.77</v>
      </c>
      <c r="AF515" s="344">
        <f t="shared" si="82"/>
        <v>7.0434656178501642E-2</v>
      </c>
      <c r="AG515" s="342">
        <v>1250.71</v>
      </c>
      <c r="AH515" s="344">
        <f t="shared" si="83"/>
        <v>4.2094128274494463E-2</v>
      </c>
      <c r="AI515" s="342">
        <v>1645.01</v>
      </c>
      <c r="AJ515" s="344">
        <f t="shared" si="84"/>
        <v>5.5364762377230647E-2</v>
      </c>
      <c r="AK515" s="342">
        <v>12540.88</v>
      </c>
      <c r="AL515" s="784">
        <f t="shared" si="85"/>
        <v>0.42207818870484937</v>
      </c>
      <c r="AM515" s="350">
        <f>IFERROR(T515/(D515+D473+D422)*90,"0.00")</f>
        <v>34.501546661111469</v>
      </c>
      <c r="AN515" s="350">
        <f>IFERROR(U515/(F515+F473+F422)*90,"0.00")</f>
        <v>27.986464021669978</v>
      </c>
      <c r="AO515" s="350">
        <f>IFERROR(AD515/(E515+E473+E422)*90,"0.00")</f>
        <v>132.77556107249256</v>
      </c>
      <c r="AP515" s="639">
        <f t="shared" si="86"/>
        <v>0.29197265329407907</v>
      </c>
    </row>
    <row r="516" spans="1:42" x14ac:dyDescent="0.2">
      <c r="A516" s="638">
        <v>42704</v>
      </c>
      <c r="B516" s="341" t="s">
        <v>135</v>
      </c>
      <c r="C516" s="351" t="s">
        <v>183</v>
      </c>
      <c r="D516" s="342">
        <v>190550</v>
      </c>
      <c r="E516" s="342">
        <v>16094</v>
      </c>
      <c r="F516" s="342">
        <v>174456</v>
      </c>
      <c r="G516" s="342">
        <v>126024.100933084</v>
      </c>
      <c r="H516" s="342">
        <v>67536.870707511902</v>
      </c>
      <c r="I516" s="342">
        <v>58487.230225572399</v>
      </c>
      <c r="J516" s="342">
        <v>25393.260201931</v>
      </c>
      <c r="K516" s="343">
        <f t="shared" si="74"/>
        <v>100630.84073115329</v>
      </c>
      <c r="L516" s="342">
        <v>91081.229110717803</v>
      </c>
      <c r="M516" s="342">
        <v>9295.59000288881</v>
      </c>
      <c r="N516" s="354">
        <v>940</v>
      </c>
      <c r="O516" s="343">
        <f t="shared" si="75"/>
        <v>202.71276595744681</v>
      </c>
      <c r="P516" s="343">
        <f t="shared" si="76"/>
        <v>95.9289158365887</v>
      </c>
      <c r="Q516" s="343">
        <f t="shared" si="77"/>
        <v>134.06819248200458</v>
      </c>
      <c r="R516" s="344">
        <f t="shared" si="78"/>
        <v>0.66137024892723328</v>
      </c>
      <c r="S516" s="344">
        <f t="shared" si="79"/>
        <v>1.9454191916494807</v>
      </c>
      <c r="T516" s="343">
        <f t="shared" si="80"/>
        <v>163084.22999999998</v>
      </c>
      <c r="U516" s="342">
        <v>118743.67999999999</v>
      </c>
      <c r="V516" s="342">
        <v>2896.01</v>
      </c>
      <c r="W516" s="344">
        <f t="shared" si="87"/>
        <v>2.4388750626559666E-2</v>
      </c>
      <c r="X516" s="342">
        <v>4476.6899999999996</v>
      </c>
      <c r="Y516" s="344">
        <f t="shared" si="88"/>
        <v>3.770044856282035E-2</v>
      </c>
      <c r="Z516" s="342">
        <v>4553.45</v>
      </c>
      <c r="AA516" s="344">
        <f t="shared" si="81"/>
        <v>3.8346882966739791E-2</v>
      </c>
      <c r="AB516" s="342">
        <v>12975.88</v>
      </c>
      <c r="AC516" s="344">
        <f t="shared" si="89"/>
        <v>0.10927638422524887</v>
      </c>
      <c r="AD516" s="342">
        <v>44340.55</v>
      </c>
      <c r="AE516" s="342">
        <v>3280.52</v>
      </c>
      <c r="AF516" s="344">
        <f t="shared" si="82"/>
        <v>7.3984648363631028E-2</v>
      </c>
      <c r="AG516" s="342">
        <v>2674.04</v>
      </c>
      <c r="AH516" s="344">
        <f t="shared" si="83"/>
        <v>6.0306874858340721E-2</v>
      </c>
      <c r="AI516" s="342">
        <v>3179.46</v>
      </c>
      <c r="AJ516" s="344">
        <f t="shared" si="84"/>
        <v>7.170547050047868E-2</v>
      </c>
      <c r="AK516" s="342">
        <v>18932.93</v>
      </c>
      <c r="AL516" s="784">
        <f t="shared" si="85"/>
        <v>0.42698906531380415</v>
      </c>
      <c r="AM516" s="350">
        <f>IFERROR(T516/(D516+D475+D424)*90,"0.00")</f>
        <v>25.955770936952383</v>
      </c>
      <c r="AN516" s="350">
        <f>IFERROR(U516/(F516+F475+F424)*90,"0.00")</f>
        <v>20.357948257928953</v>
      </c>
      <c r="AO516" s="350">
        <f>IFERROR(AD516/(E516+E475+E424)*90,"0.00")</f>
        <v>98.454333506032114</v>
      </c>
      <c r="AP516" s="639">
        <f t="shared" si="86"/>
        <v>0.28160546131696568</v>
      </c>
    </row>
    <row r="517" spans="1:42" x14ac:dyDescent="0.2">
      <c r="A517" s="638">
        <v>42704</v>
      </c>
      <c r="B517" s="341" t="s">
        <v>135</v>
      </c>
      <c r="C517" s="351" t="s">
        <v>185</v>
      </c>
      <c r="D517" s="342">
        <v>139143.51</v>
      </c>
      <c r="E517" s="342">
        <v>5979</v>
      </c>
      <c r="F517" s="342">
        <v>133164.51</v>
      </c>
      <c r="G517" s="342">
        <v>90774.580577492699</v>
      </c>
      <c r="H517" s="342">
        <v>55020.6303528547</v>
      </c>
      <c r="I517" s="342">
        <v>35753.950224638</v>
      </c>
      <c r="J517" s="342">
        <v>18608.459971427899</v>
      </c>
      <c r="K517" s="343">
        <f t="shared" si="74"/>
        <v>72166.120606064796</v>
      </c>
      <c r="L517" s="342">
        <v>70954.999332427993</v>
      </c>
      <c r="M517" s="342">
        <v>7318.96999755874</v>
      </c>
      <c r="N517" s="354">
        <v>686</v>
      </c>
      <c r="O517" s="343">
        <f t="shared" si="75"/>
        <v>202.83310495626824</v>
      </c>
      <c r="P517" s="343">
        <f t="shared" si="76"/>
        <v>88.731108848415857</v>
      </c>
      <c r="Q517" s="343">
        <f t="shared" si="77"/>
        <v>132.32446148322552</v>
      </c>
      <c r="R517" s="344">
        <f t="shared" si="78"/>
        <v>0.6523809883586571</v>
      </c>
      <c r="S517" s="344">
        <f t="shared" si="79"/>
        <v>2.1479474513421812</v>
      </c>
      <c r="T517" s="343">
        <f t="shared" si="80"/>
        <v>133778.23000000001</v>
      </c>
      <c r="U517" s="342">
        <v>100232.47</v>
      </c>
      <c r="V517" s="342">
        <v>1817.73</v>
      </c>
      <c r="W517" s="344">
        <f t="shared" si="87"/>
        <v>1.8135141237165961E-2</v>
      </c>
      <c r="X517" s="342">
        <v>3458.91</v>
      </c>
      <c r="Y517" s="344">
        <f t="shared" si="88"/>
        <v>3.4508877213142608E-2</v>
      </c>
      <c r="Z517" s="342">
        <v>3219.36</v>
      </c>
      <c r="AA517" s="344">
        <f t="shared" si="81"/>
        <v>3.2118933116184807E-2</v>
      </c>
      <c r="AB517" s="342">
        <v>9780.7800000000007</v>
      </c>
      <c r="AC517" s="344">
        <f t="shared" si="89"/>
        <v>9.7580953557265426E-2</v>
      </c>
      <c r="AD517" s="342">
        <v>33545.760000000002</v>
      </c>
      <c r="AE517" s="342">
        <v>2104.7800000000002</v>
      </c>
      <c r="AF517" s="344">
        <f t="shared" si="82"/>
        <v>6.2743547917829254E-2</v>
      </c>
      <c r="AG517" s="342">
        <v>1748.05</v>
      </c>
      <c r="AH517" s="344">
        <f t="shared" si="83"/>
        <v>5.2109417106662656E-2</v>
      </c>
      <c r="AI517" s="342">
        <v>1519.84</v>
      </c>
      <c r="AJ517" s="344">
        <f t="shared" si="84"/>
        <v>4.5306470922107586E-2</v>
      </c>
      <c r="AK517" s="342">
        <v>15416.99</v>
      </c>
      <c r="AL517" s="784">
        <f t="shared" si="85"/>
        <v>0.45958088294914168</v>
      </c>
      <c r="AM517" s="350">
        <f>IFERROR(T517/(D517+D477+D426)*90,"0.00")</f>
        <v>28.616682333213657</v>
      </c>
      <c r="AN517" s="350">
        <f>IFERROR(U517/(F517+F477+F426)*90,"0.00")</f>
        <v>22.4333512225726</v>
      </c>
      <c r="AO517" s="350">
        <f>IFERROR(AD517/(E517+E477+E426)*90,"0.00")</f>
        <v>162.19611045449662</v>
      </c>
      <c r="AP517" s="639">
        <f t="shared" si="86"/>
        <v>0.30571053710275747</v>
      </c>
    </row>
    <row r="518" spans="1:42" x14ac:dyDescent="0.2">
      <c r="A518" s="638">
        <v>42704</v>
      </c>
      <c r="B518" s="341" t="s">
        <v>135</v>
      </c>
      <c r="C518" s="351" t="s">
        <v>179</v>
      </c>
      <c r="D518" s="342">
        <v>100192.690002441</v>
      </c>
      <c r="E518" s="342">
        <v>10618</v>
      </c>
      <c r="F518" s="342">
        <v>89574.690002441406</v>
      </c>
      <c r="G518" s="342">
        <v>70559.850363865495</v>
      </c>
      <c r="H518" s="342">
        <v>39695.210261002198</v>
      </c>
      <c r="I518" s="342">
        <v>30864.640102863301</v>
      </c>
      <c r="J518" s="342">
        <v>15137.450117588</v>
      </c>
      <c r="K518" s="343">
        <f t="shared" si="74"/>
        <v>55422.400246277495</v>
      </c>
      <c r="L518" s="342">
        <v>48154.649512290998</v>
      </c>
      <c r="M518" s="342">
        <v>5038.11000489257</v>
      </c>
      <c r="N518" s="354">
        <v>499</v>
      </c>
      <c r="O518" s="343">
        <f t="shared" si="75"/>
        <v>200.78695391270824</v>
      </c>
      <c r="P518" s="343">
        <f t="shared" si="76"/>
        <v>94.188237445406486</v>
      </c>
      <c r="Q518" s="343">
        <f t="shared" si="77"/>
        <v>141.4025057392094</v>
      </c>
      <c r="R518" s="344">
        <f t="shared" si="78"/>
        <v>0.70424150067381319</v>
      </c>
      <c r="S518" s="344">
        <f t="shared" si="79"/>
        <v>2.2145121644534944</v>
      </c>
      <c r="T518" s="343">
        <f t="shared" si="80"/>
        <v>90752.41</v>
      </c>
      <c r="U518" s="342">
        <v>67902.36</v>
      </c>
      <c r="V518" s="342">
        <v>3664.89</v>
      </c>
      <c r="W518" s="344">
        <f t="shared" si="87"/>
        <v>5.3972939968507723E-2</v>
      </c>
      <c r="X518" s="342">
        <v>3334.32</v>
      </c>
      <c r="Y518" s="344">
        <f t="shared" si="88"/>
        <v>4.9104626113142459E-2</v>
      </c>
      <c r="Z518" s="342">
        <v>2340.59</v>
      </c>
      <c r="AA518" s="344">
        <f t="shared" si="81"/>
        <v>3.4469935949207067E-2</v>
      </c>
      <c r="AB518" s="342">
        <v>6300.6</v>
      </c>
      <c r="AC518" s="344">
        <f t="shared" si="89"/>
        <v>9.278911660802365E-2</v>
      </c>
      <c r="AD518" s="342">
        <v>22850.05</v>
      </c>
      <c r="AE518" s="342">
        <v>1948.31</v>
      </c>
      <c r="AF518" s="344">
        <f t="shared" si="82"/>
        <v>8.5265021301922747E-2</v>
      </c>
      <c r="AG518" s="342">
        <v>824.23</v>
      </c>
      <c r="AH518" s="344">
        <f t="shared" si="83"/>
        <v>3.607125586158455E-2</v>
      </c>
      <c r="AI518" s="342">
        <v>1790.69</v>
      </c>
      <c r="AJ518" s="344">
        <f t="shared" si="84"/>
        <v>7.8367005761475358E-2</v>
      </c>
      <c r="AK518" s="342">
        <v>8991.3799999999992</v>
      </c>
      <c r="AL518" s="784">
        <f t="shared" si="85"/>
        <v>0.3934949814114192</v>
      </c>
      <c r="AM518" s="350">
        <f>IFERROR(T518/(D518+D478+D427)*90,"0.00")</f>
        <v>26.786567054447662</v>
      </c>
      <c r="AN518" s="350">
        <f>IFERROR(U518/(F518+F478+F427)*90,"0.00")</f>
        <v>21.9237585547775</v>
      </c>
      <c r="AO518" s="350">
        <f>IFERROR(AD518/(E518+E478+E427)*90,"0.00")</f>
        <v>78.582518150554066</v>
      </c>
      <c r="AP518" s="639">
        <f t="shared" si="86"/>
        <v>0.32207388311640583</v>
      </c>
    </row>
    <row r="519" spans="1:42" x14ac:dyDescent="0.2">
      <c r="A519" s="638">
        <v>42704</v>
      </c>
      <c r="B519" s="341" t="s">
        <v>135</v>
      </c>
      <c r="C519" s="351" t="s">
        <v>187</v>
      </c>
      <c r="D519" s="342">
        <v>93613.5</v>
      </c>
      <c r="E519" s="342">
        <v>6083</v>
      </c>
      <c r="F519" s="342">
        <v>87530.5</v>
      </c>
      <c r="G519" s="342">
        <v>68409.900462031394</v>
      </c>
      <c r="H519" s="342">
        <v>42675.300301909403</v>
      </c>
      <c r="I519" s="342">
        <v>25734.6001601219</v>
      </c>
      <c r="J519" s="342">
        <v>14662.3101334572</v>
      </c>
      <c r="K519" s="343">
        <f t="shared" si="74"/>
        <v>53747.590328574108</v>
      </c>
      <c r="L519" s="342">
        <v>53001.079445838899</v>
      </c>
      <c r="M519" s="342">
        <v>2918.80000543594</v>
      </c>
      <c r="N519" s="354">
        <v>440</v>
      </c>
      <c r="O519" s="343">
        <f t="shared" si="75"/>
        <v>212.75795454545454</v>
      </c>
      <c r="P519" s="343">
        <f t="shared" si="76"/>
        <v>85.667319428920806</v>
      </c>
      <c r="Q519" s="343">
        <f t="shared" si="77"/>
        <v>155.4770465046166</v>
      </c>
      <c r="R519" s="344">
        <f t="shared" si="78"/>
        <v>0.7307696054739039</v>
      </c>
      <c r="S519" s="344">
        <f t="shared" si="79"/>
        <v>2.9702999624667856</v>
      </c>
      <c r="T519" s="343">
        <f t="shared" si="80"/>
        <v>77703.02</v>
      </c>
      <c r="U519" s="342">
        <v>57466.680000000008</v>
      </c>
      <c r="V519" s="342">
        <v>1645.16</v>
      </c>
      <c r="W519" s="344">
        <f t="shared" si="87"/>
        <v>2.862806760369661E-2</v>
      </c>
      <c r="X519" s="342">
        <v>1482.96</v>
      </c>
      <c r="Y519" s="344">
        <f t="shared" si="88"/>
        <v>2.5805562458106154E-2</v>
      </c>
      <c r="Z519" s="342">
        <v>2409.4</v>
      </c>
      <c r="AA519" s="344">
        <f t="shared" si="81"/>
        <v>4.1926904425312196E-2</v>
      </c>
      <c r="AB519" s="342">
        <v>4356.24</v>
      </c>
      <c r="AC519" s="344">
        <f t="shared" si="89"/>
        <v>7.5804622783150158E-2</v>
      </c>
      <c r="AD519" s="342">
        <v>20236.339999999997</v>
      </c>
      <c r="AE519" s="342">
        <v>1346.98</v>
      </c>
      <c r="AF519" s="344">
        <f t="shared" si="82"/>
        <v>6.6562431744080219E-2</v>
      </c>
      <c r="AG519" s="342">
        <v>556.58000000000004</v>
      </c>
      <c r="AH519" s="344">
        <f t="shared" si="83"/>
        <v>2.7503985404475323E-2</v>
      </c>
      <c r="AI519" s="342">
        <v>609.04999999999995</v>
      </c>
      <c r="AJ519" s="344">
        <f t="shared" si="84"/>
        <v>3.0096845575830415E-2</v>
      </c>
      <c r="AK519" s="342">
        <v>8166.68</v>
      </c>
      <c r="AL519" s="784">
        <f t="shared" si="85"/>
        <v>0.40356507154949967</v>
      </c>
      <c r="AM519" s="350">
        <f>IFERROR(T519/(D519+D480+D429)*90,"0.00")</f>
        <v>21.907824492347057</v>
      </c>
      <c r="AN519" s="350">
        <f>IFERROR(U519/(F519+F480+F429)*90,"0.00")</f>
        <v>17.27135554039419</v>
      </c>
      <c r="AO519" s="350">
        <f>IFERROR(AD519/(E519+E480+E429)*90,"0.00")</f>
        <v>92.178894624962027</v>
      </c>
      <c r="AP519" s="639">
        <f t="shared" si="86"/>
        <v>0.38898651602076195</v>
      </c>
    </row>
    <row r="520" spans="1:42" x14ac:dyDescent="0.2">
      <c r="A520" s="638">
        <v>42704</v>
      </c>
      <c r="B520" s="341" t="s">
        <v>135</v>
      </c>
      <c r="C520" s="351" t="s">
        <v>186</v>
      </c>
      <c r="D520" s="342">
        <v>88172</v>
      </c>
      <c r="E520" s="342">
        <v>6357</v>
      </c>
      <c r="F520" s="342">
        <v>81815</v>
      </c>
      <c r="G520" s="342">
        <v>57948.130437493302</v>
      </c>
      <c r="H520" s="342">
        <v>32472.450344204899</v>
      </c>
      <c r="I520" s="342">
        <v>25475.6800932884</v>
      </c>
      <c r="J520" s="342">
        <v>12185.7001043335</v>
      </c>
      <c r="K520" s="343">
        <f t="shared" si="74"/>
        <v>45762.430333159791</v>
      </c>
      <c r="L520" s="342">
        <v>41677.369421005198</v>
      </c>
      <c r="M520" s="342">
        <v>48.420000076293</v>
      </c>
      <c r="N520" s="354">
        <v>431</v>
      </c>
      <c r="O520" s="343">
        <f t="shared" si="75"/>
        <v>204.57540603248259</v>
      </c>
      <c r="P520" s="343">
        <f t="shared" si="76"/>
        <v>107.76382964946289</v>
      </c>
      <c r="Q520" s="343">
        <f t="shared" si="77"/>
        <v>134.45041864847633</v>
      </c>
      <c r="R520" s="344">
        <f t="shared" si="78"/>
        <v>0.65721692189689807</v>
      </c>
      <c r="S520" s="344">
        <f t="shared" si="79"/>
        <v>1.6913971693585865</v>
      </c>
      <c r="T520" s="343">
        <f t="shared" si="80"/>
        <v>78784.78</v>
      </c>
      <c r="U520" s="342">
        <v>61871.710000000006</v>
      </c>
      <c r="V520" s="342">
        <v>2938.94</v>
      </c>
      <c r="W520" s="344">
        <f t="shared" si="87"/>
        <v>4.7500545887611635E-2</v>
      </c>
      <c r="X520" s="342">
        <v>1611.34</v>
      </c>
      <c r="Y520" s="344">
        <f t="shared" si="88"/>
        <v>2.6043243349828212E-2</v>
      </c>
      <c r="Z520" s="342">
        <v>1788.65</v>
      </c>
      <c r="AA520" s="344">
        <f t="shared" si="81"/>
        <v>2.8909011889278635E-2</v>
      </c>
      <c r="AB520" s="342">
        <v>7247</v>
      </c>
      <c r="AC520" s="344">
        <f t="shared" si="89"/>
        <v>0.11712946029776775</v>
      </c>
      <c r="AD520" s="342">
        <v>16913.07</v>
      </c>
      <c r="AE520" s="342">
        <v>1226.76</v>
      </c>
      <c r="AF520" s="344">
        <f t="shared" si="82"/>
        <v>7.2533253868162312E-2</v>
      </c>
      <c r="AG520" s="342">
        <v>1010.76</v>
      </c>
      <c r="AH520" s="344">
        <f t="shared" si="83"/>
        <v>5.9762065668740212E-2</v>
      </c>
      <c r="AI520" s="342">
        <v>814.56</v>
      </c>
      <c r="AJ520" s="344">
        <f t="shared" si="84"/>
        <v>4.8161569720931795E-2</v>
      </c>
      <c r="AK520" s="342">
        <v>7367.14</v>
      </c>
      <c r="AL520" s="784">
        <f t="shared" si="85"/>
        <v>0.43558857144208596</v>
      </c>
      <c r="AM520" s="350">
        <f>IFERROR(T520/(D520+D479+D428)*90,"0.00")</f>
        <v>27.985936441711413</v>
      </c>
      <c r="AN520" s="350">
        <f>IFERROR(U520/(F520+F479+F428)*90,"0.00")</f>
        <v>23.5714673034059</v>
      </c>
      <c r="AO520" s="350">
        <f>IFERROR(AD520/(E520+E479+E428)*90,"0.00")</f>
        <v>88.875827640567522</v>
      </c>
      <c r="AP520" s="639">
        <f t="shared" si="86"/>
        <v>0.26236155657151661</v>
      </c>
    </row>
    <row r="521" spans="1:42" x14ac:dyDescent="0.2">
      <c r="A521" s="638">
        <v>42704</v>
      </c>
      <c r="B521" s="341" t="s">
        <v>135</v>
      </c>
      <c r="C521" s="351" t="s">
        <v>188</v>
      </c>
      <c r="D521" s="342">
        <v>112153</v>
      </c>
      <c r="E521" s="342">
        <v>8065</v>
      </c>
      <c r="F521" s="342">
        <v>104088</v>
      </c>
      <c r="G521" s="342">
        <v>81401.0007023215</v>
      </c>
      <c r="H521" s="342">
        <v>48863.250518798799</v>
      </c>
      <c r="I521" s="342">
        <v>32537.750183522701</v>
      </c>
      <c r="J521" s="342">
        <v>11926.2001111507</v>
      </c>
      <c r="K521" s="343">
        <f t="shared" si="74"/>
        <v>69474.800591170802</v>
      </c>
      <c r="L521" s="342">
        <v>53645.909332275398</v>
      </c>
      <c r="M521" s="342">
        <v>6414.12002283335</v>
      </c>
      <c r="N521" s="354">
        <v>632</v>
      </c>
      <c r="O521" s="343">
        <f t="shared" si="75"/>
        <v>177.45727848101265</v>
      </c>
      <c r="P521" s="343">
        <f t="shared" si="76"/>
        <v>82.425586463435536</v>
      </c>
      <c r="Q521" s="343">
        <f t="shared" si="77"/>
        <v>128.79905174417959</v>
      </c>
      <c r="R521" s="344">
        <f t="shared" si="78"/>
        <v>0.72580315018164021</v>
      </c>
      <c r="S521" s="344">
        <f t="shared" si="79"/>
        <v>2.0265756898216076</v>
      </c>
      <c r="T521" s="343">
        <f t="shared" si="80"/>
        <v>107566.24</v>
      </c>
      <c r="U521" s="342">
        <v>81022.33</v>
      </c>
      <c r="V521" s="342">
        <v>3318.14</v>
      </c>
      <c r="W521" s="344">
        <f t="shared" si="87"/>
        <v>4.0953401364784252E-2</v>
      </c>
      <c r="X521" s="342">
        <v>2558.34</v>
      </c>
      <c r="Y521" s="344">
        <f t="shared" si="88"/>
        <v>3.1575739675716558E-2</v>
      </c>
      <c r="Z521" s="342">
        <v>1801.77</v>
      </c>
      <c r="AA521" s="344">
        <f t="shared" si="81"/>
        <v>2.2237943539762432E-2</v>
      </c>
      <c r="AB521" s="342">
        <v>5276.92</v>
      </c>
      <c r="AC521" s="344">
        <f t="shared" si="89"/>
        <v>6.5129205738714252E-2</v>
      </c>
      <c r="AD521" s="342">
        <v>26543.91</v>
      </c>
      <c r="AE521" s="342">
        <v>1548.93</v>
      </c>
      <c r="AF521" s="344">
        <f t="shared" si="82"/>
        <v>5.8353498034012324E-2</v>
      </c>
      <c r="AG521" s="342">
        <v>1589.8</v>
      </c>
      <c r="AH521" s="344">
        <f t="shared" si="83"/>
        <v>5.9893210909771767E-2</v>
      </c>
      <c r="AI521" s="342">
        <v>1716.12</v>
      </c>
      <c r="AJ521" s="344">
        <f t="shared" si="84"/>
        <v>6.4652117943437865E-2</v>
      </c>
      <c r="AK521" s="342">
        <v>12259.5</v>
      </c>
      <c r="AL521" s="784">
        <f t="shared" si="85"/>
        <v>0.46185735259048122</v>
      </c>
      <c r="AM521" s="350">
        <f>IFERROR(T521/(D521+D481+D430)*90,"0.00")</f>
        <v>26.6881003020032</v>
      </c>
      <c r="AN521" s="350">
        <f>IFERROR(U521/(F521+F481+F430)*90,"0.00")</f>
        <v>21.47642794346983</v>
      </c>
      <c r="AO521" s="350">
        <f>IFERROR(AD521/(E521+E481+E430)*90,"0.00")</f>
        <v>102.93213408591494</v>
      </c>
      <c r="AP521" s="639">
        <f t="shared" si="86"/>
        <v>0.22894067977903462</v>
      </c>
    </row>
    <row r="522" spans="1:42" x14ac:dyDescent="0.2">
      <c r="A522" s="638">
        <v>42704</v>
      </c>
      <c r="B522" s="341" t="s">
        <v>136</v>
      </c>
      <c r="C522" s="351" t="s">
        <v>189</v>
      </c>
      <c r="D522" s="342">
        <v>126122.610003013</v>
      </c>
      <c r="E522" s="342">
        <v>4760</v>
      </c>
      <c r="F522" s="342">
        <v>121362.610003013</v>
      </c>
      <c r="G522" s="342">
        <v>76297.039960283801</v>
      </c>
      <c r="H522" s="342">
        <v>37516.829840201899</v>
      </c>
      <c r="I522" s="342">
        <v>38780.210120081902</v>
      </c>
      <c r="J522" s="342">
        <v>6345.8700733184796</v>
      </c>
      <c r="K522" s="343">
        <f t="shared" si="74"/>
        <v>69951.169886965319</v>
      </c>
      <c r="L522" s="342">
        <v>62713.140061717502</v>
      </c>
      <c r="M522" s="342">
        <v>3240.5999951362601</v>
      </c>
      <c r="N522" s="354">
        <v>555</v>
      </c>
      <c r="O522" s="343">
        <f t="shared" si="75"/>
        <v>227.24794595137479</v>
      </c>
      <c r="P522" s="343">
        <f t="shared" si="76"/>
        <v>108.41237828136801</v>
      </c>
      <c r="Q522" s="343">
        <f t="shared" si="77"/>
        <v>137.47214407258343</v>
      </c>
      <c r="R522" s="344">
        <f t="shared" si="78"/>
        <v>0.60494339562479005</v>
      </c>
      <c r="S522" s="344">
        <f t="shared" si="79"/>
        <v>1.4175545796506877</v>
      </c>
      <c r="T522" s="343">
        <f t="shared" si="80"/>
        <v>110745</v>
      </c>
      <c r="U522" s="342">
        <v>83635.7</v>
      </c>
      <c r="V522" s="342">
        <v>1831.87</v>
      </c>
      <c r="W522" s="344">
        <f t="shared" si="87"/>
        <v>2.1902967273544668E-2</v>
      </c>
      <c r="X522" s="342">
        <v>735.34</v>
      </c>
      <c r="Y522" s="344">
        <f t="shared" si="88"/>
        <v>8.7921784596769088E-3</v>
      </c>
      <c r="Z522" s="342">
        <v>2823.8</v>
      </c>
      <c r="AA522" s="344">
        <f t="shared" si="81"/>
        <v>3.3763093989767533E-2</v>
      </c>
      <c r="AB522" s="342">
        <v>5501.66</v>
      </c>
      <c r="AC522" s="344">
        <f t="shared" si="89"/>
        <v>6.5781239351138332E-2</v>
      </c>
      <c r="AD522" s="342">
        <v>27109.300000000003</v>
      </c>
      <c r="AE522" s="342">
        <v>2295.5700000000002</v>
      </c>
      <c r="AF522" s="344">
        <f t="shared" si="82"/>
        <v>8.4678320723884426E-2</v>
      </c>
      <c r="AG522" s="342">
        <v>1568.19</v>
      </c>
      <c r="AH522" s="344">
        <f t="shared" si="83"/>
        <v>5.7846938135621348E-2</v>
      </c>
      <c r="AI522" s="342">
        <v>1357.14</v>
      </c>
      <c r="AJ522" s="344">
        <f t="shared" si="84"/>
        <v>5.0061786914453711E-2</v>
      </c>
      <c r="AK522" s="342">
        <v>11316.11</v>
      </c>
      <c r="AL522" s="784">
        <f t="shared" si="85"/>
        <v>0.41742538538435148</v>
      </c>
      <c r="AM522" s="350">
        <f>IFERROR(T522/(D522+D482+D431)*90,"0.00")</f>
        <v>27.999889989004089</v>
      </c>
      <c r="AN522" s="350">
        <f>IFERROR(U522/(F522+F482+F431)*90,"0.00")</f>
        <v>22.256133915667501</v>
      </c>
      <c r="AO522" s="350">
        <f>IFERROR(AD522/(E522+E482+E431)*90,"0.00")</f>
        <v>137.38594515456953</v>
      </c>
      <c r="AP522" s="639">
        <f t="shared" si="86"/>
        <v>0.10546766258028344</v>
      </c>
    </row>
    <row r="523" spans="1:42" x14ac:dyDescent="0.2">
      <c r="A523" s="638">
        <v>42704</v>
      </c>
      <c r="B523" s="341" t="s">
        <v>136</v>
      </c>
      <c r="C523" s="351" t="s">
        <v>191</v>
      </c>
      <c r="D523" s="342">
        <v>184793.67000373601</v>
      </c>
      <c r="E523" s="342">
        <v>5745</v>
      </c>
      <c r="F523" s="342">
        <v>179048.67000373601</v>
      </c>
      <c r="G523" s="342">
        <v>98659.689638838201</v>
      </c>
      <c r="H523" s="342">
        <v>57667.189600672602</v>
      </c>
      <c r="I523" s="342">
        <v>40992.500038165599</v>
      </c>
      <c r="J523" s="342">
        <v>9662.0301375482195</v>
      </c>
      <c r="K523" s="343">
        <f t="shared" si="74"/>
        <v>88997.659501289978</v>
      </c>
      <c r="L523" s="342">
        <v>91805.320358276396</v>
      </c>
      <c r="M523" s="342">
        <v>5170.3800095915803</v>
      </c>
      <c r="N523" s="354">
        <v>762</v>
      </c>
      <c r="O523" s="343">
        <f t="shared" si="75"/>
        <v>242.51137795765882</v>
      </c>
      <c r="P523" s="343">
        <f t="shared" si="76"/>
        <v>115.24667931216278</v>
      </c>
      <c r="Q523" s="343">
        <f t="shared" si="77"/>
        <v>129.4746583186853</v>
      </c>
      <c r="R523" s="344">
        <f t="shared" si="78"/>
        <v>0.53389106692260391</v>
      </c>
      <c r="S523" s="344">
        <f t="shared" si="79"/>
        <v>1.2623441068219667</v>
      </c>
      <c r="T523" s="343">
        <f t="shared" si="80"/>
        <v>179844.87</v>
      </c>
      <c r="U523" s="342">
        <v>138847.59999999998</v>
      </c>
      <c r="V523" s="342">
        <v>3669.31</v>
      </c>
      <c r="W523" s="344">
        <f t="shared" si="87"/>
        <v>2.6426888185319734E-2</v>
      </c>
      <c r="X523" s="342">
        <v>3571.95</v>
      </c>
      <c r="Y523" s="344">
        <f t="shared" si="88"/>
        <v>2.5725687732449105E-2</v>
      </c>
      <c r="Z523" s="342">
        <v>4016.45</v>
      </c>
      <c r="AA523" s="344">
        <f t="shared" si="81"/>
        <v>2.8927039430281836E-2</v>
      </c>
      <c r="AB523" s="342">
        <v>5270.71</v>
      </c>
      <c r="AC523" s="344">
        <f t="shared" si="89"/>
        <v>3.7960396866780564E-2</v>
      </c>
      <c r="AD523" s="342">
        <v>40997.270000000004</v>
      </c>
      <c r="AE523" s="342">
        <v>3688.83</v>
      </c>
      <c r="AF523" s="344">
        <f t="shared" si="82"/>
        <v>8.997745459636701E-2</v>
      </c>
      <c r="AG523" s="342">
        <v>2128.1799999999998</v>
      </c>
      <c r="AH523" s="344">
        <f t="shared" si="83"/>
        <v>5.1910285733659821E-2</v>
      </c>
      <c r="AI523" s="342">
        <v>2312.37</v>
      </c>
      <c r="AJ523" s="344">
        <f t="shared" si="84"/>
        <v>5.6403023908665133E-2</v>
      </c>
      <c r="AK523" s="342">
        <v>20039.310000000001</v>
      </c>
      <c r="AL523" s="784">
        <f t="shared" si="85"/>
        <v>0.48879620521073719</v>
      </c>
      <c r="AM523" s="350">
        <f>IFERROR(T523/(D523+D484+D433)*90,"0.00")</f>
        <v>31.43933076109818</v>
      </c>
      <c r="AN523" s="350">
        <f>IFERROR(U523/(F523+F484+F433)*90,"0.00")</f>
        <v>25.12160613383849</v>
      </c>
      <c r="AO523" s="350">
        <f>IFERROR(AD523/(E523+E484+E433)*90,"0.00")</f>
        <v>212.02645278052856</v>
      </c>
      <c r="AP523" s="639">
        <f t="shared" si="86"/>
        <v>0.11002338334182912</v>
      </c>
    </row>
    <row r="524" spans="1:42" x14ac:dyDescent="0.2">
      <c r="A524" s="638">
        <v>42704</v>
      </c>
      <c r="B524" s="341" t="s">
        <v>136</v>
      </c>
      <c r="C524" s="351" t="s">
        <v>190</v>
      </c>
      <c r="D524" s="342">
        <v>168916.00000053301</v>
      </c>
      <c r="E524" s="342">
        <v>9699</v>
      </c>
      <c r="F524" s="342">
        <v>159217.00000053301</v>
      </c>
      <c r="G524" s="342">
        <v>105040.149941683</v>
      </c>
      <c r="H524" s="342">
        <v>54224.419827938102</v>
      </c>
      <c r="I524" s="342">
        <v>50815.730113744699</v>
      </c>
      <c r="J524" s="342">
        <v>9012.5701413154602</v>
      </c>
      <c r="K524" s="343">
        <f t="shared" si="74"/>
        <v>96027.579800367341</v>
      </c>
      <c r="L524" s="342">
        <v>78255.990044117003</v>
      </c>
      <c r="M524" s="342">
        <v>7752.7599895261201</v>
      </c>
      <c r="N524" s="354">
        <v>714</v>
      </c>
      <c r="O524" s="343">
        <f t="shared" si="75"/>
        <v>236.57703081307145</v>
      </c>
      <c r="P524" s="343">
        <f t="shared" si="76"/>
        <v>116.11659659228275</v>
      </c>
      <c r="Q524" s="343">
        <f t="shared" si="77"/>
        <v>147.11505594073222</v>
      </c>
      <c r="R524" s="344">
        <f t="shared" si="78"/>
        <v>0.62184843319372562</v>
      </c>
      <c r="S524" s="344">
        <f t="shared" si="79"/>
        <v>1.4214846074118743</v>
      </c>
      <c r="T524" s="343">
        <f t="shared" si="80"/>
        <v>141676.84</v>
      </c>
      <c r="U524" s="342">
        <v>103748.36</v>
      </c>
      <c r="V524" s="342">
        <v>1600.68</v>
      </c>
      <c r="W524" s="344">
        <f t="shared" si="87"/>
        <v>1.5428484845447196E-2</v>
      </c>
      <c r="X524" s="342">
        <v>2990.63</v>
      </c>
      <c r="Y524" s="344">
        <f t="shared" si="88"/>
        <v>2.8825805053689525E-2</v>
      </c>
      <c r="Z524" s="342">
        <v>1881.76</v>
      </c>
      <c r="AA524" s="344">
        <f t="shared" si="81"/>
        <v>1.8137732490422016E-2</v>
      </c>
      <c r="AB524" s="342">
        <v>5687.58</v>
      </c>
      <c r="AC524" s="344">
        <f t="shared" si="89"/>
        <v>5.4820914759520056E-2</v>
      </c>
      <c r="AD524" s="342">
        <v>37928.479999999996</v>
      </c>
      <c r="AE524" s="342">
        <v>2852.25</v>
      </c>
      <c r="AF524" s="344">
        <f t="shared" si="82"/>
        <v>7.5200746246619959E-2</v>
      </c>
      <c r="AG524" s="342">
        <v>681.37</v>
      </c>
      <c r="AH524" s="344">
        <f t="shared" si="83"/>
        <v>1.7964600743293695E-2</v>
      </c>
      <c r="AI524" s="342">
        <v>1828.63</v>
      </c>
      <c r="AJ524" s="344">
        <f t="shared" si="84"/>
        <v>4.8212583261970962E-2</v>
      </c>
      <c r="AK524" s="342">
        <v>20678.759999999998</v>
      </c>
      <c r="AL524" s="784">
        <f t="shared" si="85"/>
        <v>0.54520402610386709</v>
      </c>
      <c r="AM524" s="350">
        <f>IFERROR(T524/(D524+D483+D432)*90,"0.00")</f>
        <v>27.197524507241134</v>
      </c>
      <c r="AN524" s="350">
        <f>IFERROR(U524/(F524+F483+F432)*90,"0.00")</f>
        <v>21.146697485558693</v>
      </c>
      <c r="AO524" s="350">
        <f>IFERROR(AD524/(E524+E483+E432)*90,"0.00")</f>
        <v>125.15355453712191</v>
      </c>
      <c r="AP524" s="639">
        <f t="shared" si="86"/>
        <v>0.10870665888586041</v>
      </c>
    </row>
    <row r="525" spans="1:42" x14ac:dyDescent="0.2">
      <c r="A525" s="638">
        <v>42704</v>
      </c>
      <c r="B525" s="341" t="s">
        <v>136</v>
      </c>
      <c r="C525" s="351" t="s">
        <v>193</v>
      </c>
      <c r="D525" s="342">
        <v>68257.8700013161</v>
      </c>
      <c r="E525" s="342">
        <v>3900</v>
      </c>
      <c r="F525" s="342">
        <v>64357.8700013161</v>
      </c>
      <c r="G525" s="342">
        <v>33619.149962570496</v>
      </c>
      <c r="H525" s="342">
        <v>16578.859922792799</v>
      </c>
      <c r="I525" s="342">
        <v>17040.290039777799</v>
      </c>
      <c r="J525" s="342">
        <v>2997.7500107288402</v>
      </c>
      <c r="K525" s="343">
        <f t="shared" si="74"/>
        <v>30621.399951841759</v>
      </c>
      <c r="L525" s="342">
        <v>32023.020120620698</v>
      </c>
      <c r="M525" s="342">
        <v>0</v>
      </c>
      <c r="N525" s="354">
        <v>257</v>
      </c>
      <c r="O525" s="343">
        <f t="shared" si="75"/>
        <v>265.59482490784472</v>
      </c>
      <c r="P525" s="343">
        <f t="shared" si="76"/>
        <v>140.9916337770249</v>
      </c>
      <c r="Q525" s="343">
        <f t="shared" si="77"/>
        <v>130.8138130839323</v>
      </c>
      <c r="R525" s="344">
        <f t="shared" si="78"/>
        <v>0.49253148335748503</v>
      </c>
      <c r="S525" s="344">
        <f t="shared" si="79"/>
        <v>1.0114946879871811</v>
      </c>
      <c r="T525" s="343">
        <f t="shared" si="80"/>
        <v>53740.930000000015</v>
      </c>
      <c r="U525" s="342">
        <v>48910.770000000011</v>
      </c>
      <c r="V525" s="342">
        <v>915.41</v>
      </c>
      <c r="W525" s="344">
        <f t="shared" si="87"/>
        <v>1.871591880479493E-2</v>
      </c>
      <c r="X525" s="342">
        <v>1388.07</v>
      </c>
      <c r="Y525" s="344">
        <f t="shared" si="88"/>
        <v>2.8379639085624693E-2</v>
      </c>
      <c r="Z525" s="342">
        <v>724.47</v>
      </c>
      <c r="AA525" s="344">
        <f t="shared" si="81"/>
        <v>1.4812075131918795E-2</v>
      </c>
      <c r="AB525" s="342">
        <v>905.72</v>
      </c>
      <c r="AC525" s="344">
        <f t="shared" si="89"/>
        <v>1.8517802929702391E-2</v>
      </c>
      <c r="AD525" s="342">
        <v>4830.1600000000008</v>
      </c>
      <c r="AE525" s="342">
        <v>688.65</v>
      </c>
      <c r="AF525" s="344">
        <f t="shared" si="82"/>
        <v>0.14257291683919371</v>
      </c>
      <c r="AG525" s="342">
        <v>454.56</v>
      </c>
      <c r="AH525" s="344">
        <f t="shared" si="83"/>
        <v>9.410868377030987E-2</v>
      </c>
      <c r="AI525" s="342">
        <v>107.63</v>
      </c>
      <c r="AJ525" s="344">
        <f t="shared" si="84"/>
        <v>2.2282905742252841E-2</v>
      </c>
      <c r="AK525" s="342">
        <v>890.72</v>
      </c>
      <c r="AL525" s="784">
        <f t="shared" si="85"/>
        <v>0.18440796992232139</v>
      </c>
      <c r="AM525" s="350">
        <f>IFERROR(T525/(D525+D486+D435)*90,"0.00")</f>
        <v>28.227994744304766</v>
      </c>
      <c r="AN525" s="350">
        <f>IFERROR(U525/(F525+F486+F435)*90,"0.00")</f>
        <v>27.027749561663757</v>
      </c>
      <c r="AO525" s="350">
        <f>IFERROR(AD525/(E525+E486+E435)*90,"0.00")</f>
        <v>51.293734513274345</v>
      </c>
      <c r="AP525" s="639">
        <f t="shared" si="86"/>
        <v>8.27311281983793E-2</v>
      </c>
    </row>
    <row r="526" spans="1:42" x14ac:dyDescent="0.2">
      <c r="A526" s="638">
        <v>42704</v>
      </c>
      <c r="B526" s="341" t="s">
        <v>136</v>
      </c>
      <c r="C526" s="351" t="s">
        <v>192</v>
      </c>
      <c r="D526" s="342">
        <v>205511.88000181099</v>
      </c>
      <c r="E526" s="342">
        <v>15582</v>
      </c>
      <c r="F526" s="342">
        <v>189929.88000181099</v>
      </c>
      <c r="G526" s="342">
        <v>140107.259777859</v>
      </c>
      <c r="H526" s="342">
        <v>76486.749649718404</v>
      </c>
      <c r="I526" s="342">
        <v>63620.510128140399</v>
      </c>
      <c r="J526" s="342">
        <v>13424.6002206802</v>
      </c>
      <c r="K526" s="343">
        <f t="shared" si="74"/>
        <v>126682.65955717859</v>
      </c>
      <c r="L526" s="342">
        <v>89386.180399242803</v>
      </c>
      <c r="M526" s="342">
        <v>10834.920009776901</v>
      </c>
      <c r="N526" s="354">
        <v>1353</v>
      </c>
      <c r="O526" s="343">
        <f t="shared" si="75"/>
        <v>151.89348115433185</v>
      </c>
      <c r="P526" s="343">
        <f t="shared" si="76"/>
        <v>77.820236210488758</v>
      </c>
      <c r="Q526" s="343">
        <f t="shared" si="77"/>
        <v>103.55303752982911</v>
      </c>
      <c r="R526" s="344">
        <f t="shared" si="78"/>
        <v>0.68174774021153506</v>
      </c>
      <c r="S526" s="344">
        <f t="shared" si="79"/>
        <v>1.5251233994432651</v>
      </c>
      <c r="T526" s="343">
        <f t="shared" si="80"/>
        <v>212352.95</v>
      </c>
      <c r="U526" s="342">
        <v>148710.84000000003</v>
      </c>
      <c r="V526" s="342">
        <v>4211.01</v>
      </c>
      <c r="W526" s="344">
        <f t="shared" si="87"/>
        <v>2.8316765610361689E-2</v>
      </c>
      <c r="X526" s="342">
        <v>4158.8100000000004</v>
      </c>
      <c r="Y526" s="344">
        <f t="shared" si="88"/>
        <v>2.7965748831759674E-2</v>
      </c>
      <c r="Z526" s="342">
        <v>4410.51</v>
      </c>
      <c r="AA526" s="344">
        <f t="shared" si="81"/>
        <v>2.9658295252719975E-2</v>
      </c>
      <c r="AB526" s="342">
        <v>7766.97</v>
      </c>
      <c r="AC526" s="344">
        <f t="shared" si="89"/>
        <v>5.2228674116829674E-2</v>
      </c>
      <c r="AD526" s="342">
        <v>63642.11</v>
      </c>
      <c r="AE526" s="342">
        <v>5531.37</v>
      </c>
      <c r="AF526" s="344">
        <f t="shared" si="82"/>
        <v>8.6913680266100538E-2</v>
      </c>
      <c r="AG526" s="342">
        <v>3447.51</v>
      </c>
      <c r="AH526" s="344">
        <f t="shared" si="83"/>
        <v>5.4170265567876366E-2</v>
      </c>
      <c r="AI526" s="342">
        <v>4462.33</v>
      </c>
      <c r="AJ526" s="344">
        <f t="shared" si="84"/>
        <v>7.0115997096890717E-2</v>
      </c>
      <c r="AK526" s="342">
        <v>30558.65</v>
      </c>
      <c r="AL526" s="784">
        <f t="shared" si="85"/>
        <v>0.48016399833380763</v>
      </c>
      <c r="AM526" s="350">
        <f>IFERROR(T526/(D526+D485+D434)*90,"0.00")</f>
        <v>30.549024104056002</v>
      </c>
      <c r="AN526" s="350">
        <f>IFERROR(U526/(F526+F485+F434)*90,"0.00")</f>
        <v>22.925315697118602</v>
      </c>
      <c r="AO526" s="350">
        <f>IFERROR(AD526/(E526+E485+E434)*90,"0.00")</f>
        <v>137.02191043490743</v>
      </c>
      <c r="AP526" s="639">
        <f t="shared" si="86"/>
        <v>0.12750024525033826</v>
      </c>
    </row>
    <row r="527" spans="1:42" x14ac:dyDescent="0.2">
      <c r="A527" s="638">
        <v>42704</v>
      </c>
      <c r="B527" s="341" t="s">
        <v>136</v>
      </c>
      <c r="C527" s="351" t="s">
        <v>304</v>
      </c>
      <c r="D527" s="342">
        <v>14488.7899999619</v>
      </c>
      <c r="E527" s="342">
        <v>1833</v>
      </c>
      <c r="F527" s="342">
        <v>12655.7899999619</v>
      </c>
      <c r="G527" s="342">
        <v>4096.3200073242197</v>
      </c>
      <c r="H527" s="342">
        <v>178.30000305175801</v>
      </c>
      <c r="I527" s="342">
        <v>3918.02000427246</v>
      </c>
      <c r="J527" s="342">
        <v>0</v>
      </c>
      <c r="K527" s="343">
        <f t="shared" si="74"/>
        <v>4096.3200073242178</v>
      </c>
      <c r="L527" s="342">
        <v>183.49000549316401</v>
      </c>
      <c r="M527" s="342">
        <v>0</v>
      </c>
      <c r="N527" s="354">
        <v>85</v>
      </c>
      <c r="O527" s="343">
        <f t="shared" si="75"/>
        <v>170.45635294072824</v>
      </c>
      <c r="P527" s="343">
        <f t="shared" si="76"/>
        <v>168.29764699374985</v>
      </c>
      <c r="Q527" s="343">
        <f t="shared" si="77"/>
        <v>48.192000086167269</v>
      </c>
      <c r="R527" s="344">
        <f t="shared" si="78"/>
        <v>0.28272340252947203</v>
      </c>
      <c r="S527" s="344">
        <f t="shared" si="79"/>
        <v>0.28634981502716433</v>
      </c>
      <c r="T527" s="343">
        <f t="shared" si="80"/>
        <v>10183.98</v>
      </c>
      <c r="U527" s="342">
        <v>10108.98</v>
      </c>
      <c r="V527" s="342">
        <v>0</v>
      </c>
      <c r="W527" s="344">
        <f t="shared" si="87"/>
        <v>0</v>
      </c>
      <c r="X527" s="342">
        <v>0</v>
      </c>
      <c r="Y527" s="344">
        <f t="shared" si="88"/>
        <v>0</v>
      </c>
      <c r="Z527" s="342">
        <v>0</v>
      </c>
      <c r="AA527" s="344">
        <f t="shared" si="81"/>
        <v>0</v>
      </c>
      <c r="AB527" s="342">
        <v>0</v>
      </c>
      <c r="AC527" s="344">
        <f t="shared" si="89"/>
        <v>0</v>
      </c>
      <c r="AD527" s="342">
        <v>75</v>
      </c>
      <c r="AE527" s="342">
        <v>0</v>
      </c>
      <c r="AF527" s="344">
        <f t="shared" si="82"/>
        <v>0</v>
      </c>
      <c r="AG527" s="342">
        <v>0</v>
      </c>
      <c r="AH527" s="344">
        <f t="shared" si="83"/>
        <v>0</v>
      </c>
      <c r="AI527" s="342">
        <v>0</v>
      </c>
      <c r="AJ527" s="344">
        <f t="shared" si="84"/>
        <v>0</v>
      </c>
      <c r="AK527" s="342">
        <v>0</v>
      </c>
      <c r="AL527" s="784">
        <f t="shared" si="85"/>
        <v>0</v>
      </c>
      <c r="AM527" s="350">
        <f>IFERROR(T527/(D527)*30,"0.00")</f>
        <v>21.086605575814364</v>
      </c>
      <c r="AN527" s="350">
        <f>IFERROR(U527/(F527)*30,"0.00")</f>
        <v>23.962897614523705</v>
      </c>
      <c r="AO527" s="350">
        <f>IFERROR(AD527/(E527)*30,"0.00")</f>
        <v>1.2274959083469723</v>
      </c>
      <c r="AP527" s="639">
        <f t="shared" si="86"/>
        <v>0</v>
      </c>
    </row>
    <row r="528" spans="1:42" x14ac:dyDescent="0.2">
      <c r="A528" s="638">
        <v>42704</v>
      </c>
      <c r="B528" s="341" t="s">
        <v>136</v>
      </c>
      <c r="C528" s="351" t="s">
        <v>194</v>
      </c>
      <c r="D528" s="342">
        <v>116187.280002117</v>
      </c>
      <c r="E528" s="342">
        <v>7630</v>
      </c>
      <c r="F528" s="342">
        <v>108557.280002117</v>
      </c>
      <c r="G528" s="342">
        <v>67992.769733501598</v>
      </c>
      <c r="H528" s="342">
        <v>35547.1296964418</v>
      </c>
      <c r="I528" s="342">
        <v>32445.640037059798</v>
      </c>
      <c r="J528" s="342">
        <v>4802.8400588035602</v>
      </c>
      <c r="K528" s="343">
        <f t="shared" si="74"/>
        <v>63189.92967469804</v>
      </c>
      <c r="L528" s="342">
        <v>60126.990283357001</v>
      </c>
      <c r="M528" s="342">
        <v>3093.6199936866801</v>
      </c>
      <c r="N528" s="354">
        <v>476</v>
      </c>
      <c r="O528" s="343">
        <f t="shared" si="75"/>
        <v>244.09092437419537</v>
      </c>
      <c r="P528" s="343">
        <f t="shared" si="76"/>
        <v>111.27451622914562</v>
      </c>
      <c r="Q528" s="343">
        <f t="shared" si="77"/>
        <v>142.841953221642</v>
      </c>
      <c r="R528" s="344">
        <f t="shared" si="78"/>
        <v>0.58519977171565363</v>
      </c>
      <c r="S528" s="344">
        <f t="shared" si="79"/>
        <v>1.4116977450636263</v>
      </c>
      <c r="T528" s="343">
        <f t="shared" si="80"/>
        <v>100119.93</v>
      </c>
      <c r="U528" s="342">
        <v>76248.72</v>
      </c>
      <c r="V528" s="342">
        <v>2353.9499999999998</v>
      </c>
      <c r="W528" s="344">
        <f t="shared" si="87"/>
        <v>3.0871993654450852E-2</v>
      </c>
      <c r="X528" s="342">
        <v>2566.15</v>
      </c>
      <c r="Y528" s="344">
        <f t="shared" si="88"/>
        <v>3.3654991191983286E-2</v>
      </c>
      <c r="Z528" s="342">
        <v>1679.47</v>
      </c>
      <c r="AA528" s="344">
        <f t="shared" si="81"/>
        <v>2.2026205816963223E-2</v>
      </c>
      <c r="AB528" s="342">
        <v>4420.55</v>
      </c>
      <c r="AC528" s="344">
        <f t="shared" si="89"/>
        <v>5.7975399455885951E-2</v>
      </c>
      <c r="AD528" s="342">
        <v>23871.21</v>
      </c>
      <c r="AE528" s="342">
        <v>1770.83</v>
      </c>
      <c r="AF528" s="344">
        <f t="shared" si="82"/>
        <v>7.4182666065105207E-2</v>
      </c>
      <c r="AG528" s="342">
        <v>1411.94</v>
      </c>
      <c r="AH528" s="344">
        <f t="shared" si="83"/>
        <v>5.9148237563156625E-2</v>
      </c>
      <c r="AI528" s="342">
        <v>1789.69</v>
      </c>
      <c r="AJ528" s="344">
        <f t="shared" si="84"/>
        <v>7.4972739128012361E-2</v>
      </c>
      <c r="AK528" s="342">
        <v>11001.06</v>
      </c>
      <c r="AL528" s="784">
        <f t="shared" si="85"/>
        <v>0.46085053920601426</v>
      </c>
      <c r="AM528" s="350">
        <f>IFERROR(T528/(D528+D487+D436)*90,"0.00")</f>
        <v>28.62162426340516</v>
      </c>
      <c r="AN528" s="350">
        <f>IFERROR(U528/(F528+F487+F436)*90,"0.00")</f>
        <v>23.192220314425914</v>
      </c>
      <c r="AO528" s="350">
        <f>IFERROR(AD528/(E528+E487+E436)*90,"0.00")</f>
        <v>113.47423890865875</v>
      </c>
      <c r="AP528" s="639">
        <f t="shared" si="86"/>
        <v>9.0676647856718015E-2</v>
      </c>
    </row>
    <row r="529" spans="1:42" x14ac:dyDescent="0.2">
      <c r="A529" s="638">
        <v>42704</v>
      </c>
      <c r="B529" s="341" t="s">
        <v>136</v>
      </c>
      <c r="C529" s="351" t="s">
        <v>195</v>
      </c>
      <c r="D529" s="342">
        <v>95074.2900011819</v>
      </c>
      <c r="E529" s="342">
        <v>3342</v>
      </c>
      <c r="F529" s="342">
        <v>91732.2900011819</v>
      </c>
      <c r="G529" s="342">
        <v>59283.889892578103</v>
      </c>
      <c r="H529" s="342">
        <v>35424.479846954302</v>
      </c>
      <c r="I529" s="342">
        <v>23859.410045623801</v>
      </c>
      <c r="J529" s="342">
        <v>2720.2400207519499</v>
      </c>
      <c r="K529" s="343">
        <f t="shared" si="74"/>
        <v>56563.64987182615</v>
      </c>
      <c r="L529" s="342">
        <v>48788.440147399902</v>
      </c>
      <c r="M529" s="342">
        <v>240.10999679565401</v>
      </c>
      <c r="N529" s="354">
        <v>519</v>
      </c>
      <c r="O529" s="343">
        <f t="shared" si="75"/>
        <v>183.18745664967611</v>
      </c>
      <c r="P529" s="343">
        <f t="shared" si="76"/>
        <v>88.720115331380242</v>
      </c>
      <c r="Q529" s="343">
        <f t="shared" si="77"/>
        <v>114.22714815525646</v>
      </c>
      <c r="R529" s="344">
        <f t="shared" si="78"/>
        <v>0.62355332752777981</v>
      </c>
      <c r="S529" s="344">
        <f t="shared" si="79"/>
        <v>1.3683371251725811</v>
      </c>
      <c r="T529" s="343">
        <f t="shared" si="80"/>
        <v>86273.180000000008</v>
      </c>
      <c r="U529" s="342">
        <v>66326.570000000007</v>
      </c>
      <c r="V529" s="342">
        <v>2453.15</v>
      </c>
      <c r="W529" s="344">
        <f t="shared" si="87"/>
        <v>3.6985931882200451E-2</v>
      </c>
      <c r="X529" s="342">
        <v>2176.4699999999998</v>
      </c>
      <c r="Y529" s="344">
        <f t="shared" si="88"/>
        <v>3.2814451282495077E-2</v>
      </c>
      <c r="Z529" s="342">
        <v>1242.56</v>
      </c>
      <c r="AA529" s="344">
        <f t="shared" si="81"/>
        <v>1.8733970413365258E-2</v>
      </c>
      <c r="AB529" s="342">
        <v>2989.55</v>
      </c>
      <c r="AC529" s="344">
        <f t="shared" si="89"/>
        <v>4.5073188618075681E-2</v>
      </c>
      <c r="AD529" s="342">
        <v>19946.61</v>
      </c>
      <c r="AE529" s="342">
        <v>1943.99</v>
      </c>
      <c r="AF529" s="344">
        <f t="shared" si="82"/>
        <v>9.7459668585288428E-2</v>
      </c>
      <c r="AG529" s="342">
        <v>1879.72</v>
      </c>
      <c r="AH529" s="344">
        <f t="shared" si="83"/>
        <v>9.4237567185601959E-2</v>
      </c>
      <c r="AI529" s="342">
        <v>965.25</v>
      </c>
      <c r="AJ529" s="344">
        <f t="shared" si="84"/>
        <v>4.8391681594015225E-2</v>
      </c>
      <c r="AK529" s="342">
        <v>6345.19</v>
      </c>
      <c r="AL529" s="784">
        <f t="shared" si="85"/>
        <v>0.31810869115102763</v>
      </c>
      <c r="AM529" s="350">
        <f>IFERROR(T529/(D529+D488+D437)*90,"0.00")</f>
        <v>27.483736388399674</v>
      </c>
      <c r="AN529" s="350">
        <f>IFERROR(U529/(F529+F488+F437)*90,"0.00")</f>
        <v>21.984710633835618</v>
      </c>
      <c r="AO529" s="350">
        <f>IFERROR(AD529/(E529+E488+E437)*90,"0.00")</f>
        <v>163.33317259576017</v>
      </c>
      <c r="AP529" s="639">
        <f t="shared" si="86"/>
        <v>5.9076909811868694E-2</v>
      </c>
    </row>
    <row r="530" spans="1:42" x14ac:dyDescent="0.2">
      <c r="A530" s="638">
        <v>42704</v>
      </c>
      <c r="B530" s="341" t="s">
        <v>136</v>
      </c>
      <c r="C530" s="351" t="s">
        <v>305</v>
      </c>
      <c r="D530" s="342">
        <v>54538.800000190698</v>
      </c>
      <c r="E530" s="342">
        <v>3770</v>
      </c>
      <c r="F530" s="342">
        <v>50768.800000190698</v>
      </c>
      <c r="G530" s="342">
        <v>25445.370039463</v>
      </c>
      <c r="H530" s="342">
        <v>11836.030022144299</v>
      </c>
      <c r="I530" s="342">
        <v>13609.3400173187</v>
      </c>
      <c r="J530" s="342">
        <v>339.61999797820999</v>
      </c>
      <c r="K530" s="343">
        <f t="shared" si="74"/>
        <v>25105.750041484789</v>
      </c>
      <c r="L530" s="342">
        <v>17074.9100112915</v>
      </c>
      <c r="M530" s="342">
        <v>240.620002746582</v>
      </c>
      <c r="N530" s="354">
        <v>270</v>
      </c>
      <c r="O530" s="343">
        <f t="shared" si="75"/>
        <v>201.99555555626185</v>
      </c>
      <c r="P530" s="343">
        <f t="shared" si="76"/>
        <v>137.86396291167637</v>
      </c>
      <c r="Q530" s="343">
        <f t="shared" si="77"/>
        <v>94.242111257270366</v>
      </c>
      <c r="R530" s="344">
        <f t="shared" si="78"/>
        <v>0.46655537047705536</v>
      </c>
      <c r="S530" s="344">
        <f t="shared" si="79"/>
        <v>0.68988210352341117</v>
      </c>
      <c r="T530" s="343">
        <f t="shared" si="80"/>
        <v>39489.870000000003</v>
      </c>
      <c r="U530" s="342">
        <v>36421.980000000003</v>
      </c>
      <c r="V530" s="342">
        <v>920</v>
      </c>
      <c r="W530" s="344">
        <f t="shared" si="87"/>
        <v>2.5259472439444531E-2</v>
      </c>
      <c r="X530" s="342">
        <v>0</v>
      </c>
      <c r="Y530" s="344">
        <f t="shared" si="88"/>
        <v>0</v>
      </c>
      <c r="Z530" s="342">
        <v>0</v>
      </c>
      <c r="AA530" s="344">
        <f t="shared" si="81"/>
        <v>0</v>
      </c>
      <c r="AB530" s="342">
        <v>0</v>
      </c>
      <c r="AC530" s="344">
        <f t="shared" si="89"/>
        <v>0</v>
      </c>
      <c r="AD530" s="342">
        <v>3067.8900000000003</v>
      </c>
      <c r="AE530" s="342">
        <v>140.5</v>
      </c>
      <c r="AF530" s="344">
        <f t="shared" si="82"/>
        <v>4.5796948391239579E-2</v>
      </c>
      <c r="AG530" s="342">
        <v>0</v>
      </c>
      <c r="AH530" s="344">
        <f t="shared" si="83"/>
        <v>0</v>
      </c>
      <c r="AI530" s="342">
        <v>0</v>
      </c>
      <c r="AJ530" s="344">
        <f t="shared" si="84"/>
        <v>0</v>
      </c>
      <c r="AK530" s="342">
        <v>0</v>
      </c>
      <c r="AL530" s="784">
        <f t="shared" si="85"/>
        <v>0</v>
      </c>
      <c r="AM530" s="350">
        <f>IFERROR(T530/(D530+D504+D453)*90,"0.00")</f>
        <v>26.36011201368942</v>
      </c>
      <c r="AN530" s="350">
        <f>IFERROR(U530/(F530+F504+F453)*90,"0.00")</f>
        <v>26.650387435713149</v>
      </c>
      <c r="AO530" s="350">
        <f>IFERROR(AD530/(E530+E504+E453)*90,"0.00")</f>
        <v>23.341795587116412</v>
      </c>
      <c r="AP530" s="639">
        <f t="shared" si="86"/>
        <v>9.1238625221414342E-3</v>
      </c>
    </row>
    <row r="531" spans="1:42" x14ac:dyDescent="0.2">
      <c r="A531" s="638">
        <v>42704</v>
      </c>
      <c r="B531" s="341" t="s">
        <v>136</v>
      </c>
      <c r="C531" s="351" t="s">
        <v>196</v>
      </c>
      <c r="D531" s="342">
        <v>94906.270001430094</v>
      </c>
      <c r="E531" s="342">
        <v>4494</v>
      </c>
      <c r="F531" s="342">
        <v>90412.270001430094</v>
      </c>
      <c r="G531" s="342">
        <v>55597.039915233901</v>
      </c>
      <c r="H531" s="342">
        <v>27441.289834141699</v>
      </c>
      <c r="I531" s="342">
        <v>28155.750081092101</v>
      </c>
      <c r="J531" s="342">
        <v>4235.3300423622104</v>
      </c>
      <c r="K531" s="343">
        <f t="shared" si="74"/>
        <v>51361.709872871586</v>
      </c>
      <c r="L531" s="342">
        <v>49802.510076761202</v>
      </c>
      <c r="M531" s="342">
        <v>38.479999542236001</v>
      </c>
      <c r="N531" s="354">
        <v>459</v>
      </c>
      <c r="O531" s="343">
        <f t="shared" si="75"/>
        <v>206.76747277000021</v>
      </c>
      <c r="P531" s="343">
        <f t="shared" si="76"/>
        <v>98.18143774537397</v>
      </c>
      <c r="Q531" s="343">
        <f t="shared" si="77"/>
        <v>121.1264486170671</v>
      </c>
      <c r="R531" s="344">
        <f t="shared" si="78"/>
        <v>0.58580997772218879</v>
      </c>
      <c r="S531" s="344">
        <f t="shared" si="79"/>
        <v>1.3616729894322743</v>
      </c>
      <c r="T531" s="343">
        <f t="shared" si="80"/>
        <v>84548.37</v>
      </c>
      <c r="U531" s="342">
        <v>67354.31</v>
      </c>
      <c r="V531" s="342">
        <v>1952.63</v>
      </c>
      <c r="W531" s="344">
        <f t="shared" si="87"/>
        <v>2.8990423923873621E-2</v>
      </c>
      <c r="X531" s="342">
        <v>1853.59</v>
      </c>
      <c r="Y531" s="344">
        <f t="shared" si="88"/>
        <v>2.7519990925599268E-2</v>
      </c>
      <c r="Z531" s="342">
        <v>1800.19</v>
      </c>
      <c r="AA531" s="344">
        <f t="shared" si="81"/>
        <v>2.6727168610293835E-2</v>
      </c>
      <c r="AB531" s="342">
        <v>2686.61</v>
      </c>
      <c r="AC531" s="344">
        <f t="shared" si="89"/>
        <v>3.988772210716731E-2</v>
      </c>
      <c r="AD531" s="342">
        <v>17194.059999999998</v>
      </c>
      <c r="AE531" s="342">
        <v>1970.33</v>
      </c>
      <c r="AF531" s="344">
        <f t="shared" si="82"/>
        <v>0.11459364454933856</v>
      </c>
      <c r="AG531" s="342">
        <v>1995.87</v>
      </c>
      <c r="AH531" s="344">
        <f t="shared" si="83"/>
        <v>0.11607904125029227</v>
      </c>
      <c r="AI531" s="342">
        <v>745.91</v>
      </c>
      <c r="AJ531" s="344">
        <f t="shared" si="84"/>
        <v>4.3381842333922303E-2</v>
      </c>
      <c r="AK531" s="342">
        <v>5170.55</v>
      </c>
      <c r="AL531" s="784">
        <f t="shared" si="85"/>
        <v>0.30071722443681137</v>
      </c>
      <c r="AM531" s="350">
        <f>IFERROR(T531/(D531+D489+D438)*90,"0.00")</f>
        <v>26.312446713187303</v>
      </c>
      <c r="AN531" s="350">
        <f>IFERROR(U531/(F531+F489+F438)*90,"0.00")</f>
        <v>22.057011551845026</v>
      </c>
      <c r="AO531" s="350">
        <f>IFERROR(AD531/(E531+E489+E438)*90,"0.00")</f>
        <v>107.73220551378445</v>
      </c>
      <c r="AP531" s="639">
        <f t="shared" si="86"/>
        <v>9.3982108829657005E-2</v>
      </c>
    </row>
    <row r="532" spans="1:42" x14ac:dyDescent="0.2">
      <c r="A532" s="638">
        <v>42704</v>
      </c>
      <c r="B532" s="341" t="s">
        <v>136</v>
      </c>
      <c r="C532" s="351" t="s">
        <v>290</v>
      </c>
      <c r="D532" s="342">
        <v>84407.470000514804</v>
      </c>
      <c r="E532" s="342">
        <v>5178</v>
      </c>
      <c r="F532" s="342">
        <v>79229.470000514804</v>
      </c>
      <c r="G532" s="342">
        <v>49150.339844256603</v>
      </c>
      <c r="H532" s="342">
        <v>26869.609816581</v>
      </c>
      <c r="I532" s="342">
        <v>22280.7300276756</v>
      </c>
      <c r="J532" s="342">
        <v>2885.2200057506602</v>
      </c>
      <c r="K532" s="343">
        <f t="shared" si="74"/>
        <v>46265.119838505932</v>
      </c>
      <c r="L532" s="342">
        <v>42789.810105174802</v>
      </c>
      <c r="M532" s="342">
        <v>0</v>
      </c>
      <c r="N532" s="354">
        <v>413</v>
      </c>
      <c r="O532" s="343">
        <f t="shared" si="75"/>
        <v>204.37644067921261</v>
      </c>
      <c r="P532" s="343">
        <f t="shared" si="76"/>
        <v>100.76915228895885</v>
      </c>
      <c r="Q532" s="343">
        <f t="shared" si="77"/>
        <v>119.00808678996755</v>
      </c>
      <c r="R532" s="344">
        <f t="shared" si="78"/>
        <v>0.58229846059782175</v>
      </c>
      <c r="S532" s="344">
        <f t="shared" si="79"/>
        <v>1.2689709190633101</v>
      </c>
      <c r="T532" s="343">
        <f t="shared" si="80"/>
        <v>67638.02</v>
      </c>
      <c r="U532" s="342">
        <v>57282.310000000005</v>
      </c>
      <c r="V532" s="342">
        <v>2110.41</v>
      </c>
      <c r="W532" s="344">
        <f t="shared" si="87"/>
        <v>3.6842264217347376E-2</v>
      </c>
      <c r="X532" s="342">
        <v>1542.05</v>
      </c>
      <c r="Y532" s="344">
        <f t="shared" si="88"/>
        <v>2.6920178323814103E-2</v>
      </c>
      <c r="Z532" s="342">
        <v>1218.1099999999999</v>
      </c>
      <c r="AA532" s="344">
        <f t="shared" si="81"/>
        <v>2.1265029290892769E-2</v>
      </c>
      <c r="AB532" s="342">
        <v>208.98</v>
      </c>
      <c r="AC532" s="344">
        <f t="shared" si="89"/>
        <v>3.6482467274800887E-3</v>
      </c>
      <c r="AD532" s="342">
        <v>10355.710000000001</v>
      </c>
      <c r="AE532" s="342">
        <v>1187.6300000000001</v>
      </c>
      <c r="AF532" s="344">
        <f t="shared" si="82"/>
        <v>0.11468359001941923</v>
      </c>
      <c r="AG532" s="342">
        <v>803.02</v>
      </c>
      <c r="AH532" s="344">
        <f t="shared" si="83"/>
        <v>7.7543693286119431E-2</v>
      </c>
      <c r="AI532" s="342">
        <v>804.2</v>
      </c>
      <c r="AJ532" s="344">
        <f t="shared" si="84"/>
        <v>7.7657640084552379E-2</v>
      </c>
      <c r="AK532" s="342">
        <v>2.14</v>
      </c>
      <c r="AL532" s="784">
        <f t="shared" si="85"/>
        <v>2.0664927851397923E-4</v>
      </c>
      <c r="AM532" s="350">
        <f>IFERROR(T532/(D532+D490+D439)*90,"0.00")</f>
        <v>23.662667212245136</v>
      </c>
      <c r="AN532" s="350">
        <f>IFERROR(U532/(F532+F490+F439)*90,"0.00")</f>
        <v>21.163894599715555</v>
      </c>
      <c r="AO532" s="350">
        <f>IFERROR(AD532/(E532+E490+E439)*90,"0.00")</f>
        <v>68.209448185011709</v>
      </c>
      <c r="AP532" s="639">
        <f t="shared" si="86"/>
        <v>6.9326819744464363E-2</v>
      </c>
    </row>
    <row r="533" spans="1:42" x14ac:dyDescent="0.2">
      <c r="A533" s="638">
        <v>42704</v>
      </c>
      <c r="B533" s="341" t="s">
        <v>137</v>
      </c>
      <c r="C533" s="351" t="s">
        <v>209</v>
      </c>
      <c r="D533" s="342">
        <v>78358.960005054294</v>
      </c>
      <c r="E533" s="342">
        <v>4331</v>
      </c>
      <c r="F533" s="342">
        <v>74027.960005054294</v>
      </c>
      <c r="G533" s="342">
        <v>45519.919890224897</v>
      </c>
      <c r="H533" s="342">
        <v>24046.269859135198</v>
      </c>
      <c r="I533" s="342">
        <v>21473.650031089801</v>
      </c>
      <c r="J533" s="342">
        <v>2198.2299985885602</v>
      </c>
      <c r="K533" s="343">
        <f t="shared" si="74"/>
        <v>43321.689891636437</v>
      </c>
      <c r="L533" s="342">
        <v>35702.260024070703</v>
      </c>
      <c r="M533" s="342">
        <v>170</v>
      </c>
      <c r="N533" s="354">
        <v>314</v>
      </c>
      <c r="O533" s="343">
        <f t="shared" si="75"/>
        <v>249.55082804157419</v>
      </c>
      <c r="P533" s="343">
        <f t="shared" si="76"/>
        <v>135.30796172287768</v>
      </c>
      <c r="Q533" s="343">
        <f t="shared" si="77"/>
        <v>144.96789773957005</v>
      </c>
      <c r="R533" s="344">
        <f t="shared" si="78"/>
        <v>0.58091531443613953</v>
      </c>
      <c r="S533" s="344">
        <f t="shared" si="79"/>
        <v>1.1298498034329914</v>
      </c>
      <c r="T533" s="343">
        <f t="shared" si="80"/>
        <v>68017.799999999988</v>
      </c>
      <c r="U533" s="342">
        <v>53378.979999999996</v>
      </c>
      <c r="V533" s="342">
        <v>2068</v>
      </c>
      <c r="W533" s="344">
        <f t="shared" si="87"/>
        <v>3.8741841826127069E-2</v>
      </c>
      <c r="X533" s="342">
        <v>1329.7</v>
      </c>
      <c r="Y533" s="344">
        <f t="shared" si="88"/>
        <v>2.49105546790141E-2</v>
      </c>
      <c r="Z533" s="342">
        <v>1346.74</v>
      </c>
      <c r="AA533" s="344">
        <f t="shared" si="81"/>
        <v>2.5229781460792248E-2</v>
      </c>
      <c r="AB533" s="342">
        <v>2269.12</v>
      </c>
      <c r="AC533" s="344">
        <f t="shared" si="89"/>
        <v>4.2509617081480391E-2</v>
      </c>
      <c r="AD533" s="342">
        <v>14638.82</v>
      </c>
      <c r="AE533" s="342">
        <v>528.71</v>
      </c>
      <c r="AF533" s="344">
        <f t="shared" si="82"/>
        <v>3.611698210648126E-2</v>
      </c>
      <c r="AG533" s="342">
        <v>560.87</v>
      </c>
      <c r="AH533" s="344">
        <f t="shared" si="83"/>
        <v>3.8313880490367394E-2</v>
      </c>
      <c r="AI533" s="342">
        <v>1633.96</v>
      </c>
      <c r="AJ533" s="344">
        <f t="shared" si="84"/>
        <v>0.11161828617333912</v>
      </c>
      <c r="AK533" s="342">
        <v>5886.07</v>
      </c>
      <c r="AL533" s="784">
        <f t="shared" si="85"/>
        <v>0.40208637034952271</v>
      </c>
      <c r="AM533" s="350">
        <f>IFERROR(T533/(D533+D491+D440)*90,"0.00")</f>
        <v>26.439193049048392</v>
      </c>
      <c r="AN533" s="350">
        <f>IFERROR(U533/(F533+F491+F440)*90,"0.00")</f>
        <v>22.138836223694778</v>
      </c>
      <c r="AO533" s="350">
        <f>IFERROR(AD533/(E533+E491+E440)*90,"0.00")</f>
        <v>90.636612548156307</v>
      </c>
      <c r="AP533" s="639">
        <f t="shared" si="86"/>
        <v>5.1739250155282829E-2</v>
      </c>
    </row>
    <row r="534" spans="1:42" x14ac:dyDescent="0.2">
      <c r="A534" s="638">
        <v>42704</v>
      </c>
      <c r="B534" s="341" t="s">
        <v>137</v>
      </c>
      <c r="C534" s="351" t="s">
        <v>197</v>
      </c>
      <c r="D534" s="342">
        <v>191791.89000892601</v>
      </c>
      <c r="E534" s="342">
        <v>9215</v>
      </c>
      <c r="F534" s="342">
        <v>182576.89000892601</v>
      </c>
      <c r="G534" s="342">
        <v>117073.299883395</v>
      </c>
      <c r="H534" s="342">
        <v>63766.589766770601</v>
      </c>
      <c r="I534" s="342">
        <v>53306.710116624803</v>
      </c>
      <c r="J534" s="342">
        <v>4912.4200158305503</v>
      </c>
      <c r="K534" s="343">
        <f t="shared" si="74"/>
        <v>112160.87986756486</v>
      </c>
      <c r="L534" s="342">
        <v>86301.010213255897</v>
      </c>
      <c r="M534" s="342">
        <v>2461.1400006096801</v>
      </c>
      <c r="N534" s="354">
        <v>888</v>
      </c>
      <c r="O534" s="343">
        <f t="shared" si="75"/>
        <v>215.98185811815992</v>
      </c>
      <c r="P534" s="343">
        <f t="shared" si="76"/>
        <v>116.02448175119419</v>
      </c>
      <c r="Q534" s="343">
        <f t="shared" si="77"/>
        <v>131.83930167049033</v>
      </c>
      <c r="R534" s="344">
        <f t="shared" si="78"/>
        <v>0.61041840652358559</v>
      </c>
      <c r="S534" s="344">
        <f t="shared" si="79"/>
        <v>1.1931970843355451</v>
      </c>
      <c r="T534" s="343">
        <f t="shared" si="80"/>
        <v>195328.32</v>
      </c>
      <c r="U534" s="342">
        <v>159203.09</v>
      </c>
      <c r="V534" s="342">
        <v>5812.51</v>
      </c>
      <c r="W534" s="344">
        <f t="shared" si="87"/>
        <v>3.6510032562810185E-2</v>
      </c>
      <c r="X534" s="342">
        <v>1795.84</v>
      </c>
      <c r="Y534" s="344">
        <f t="shared" si="88"/>
        <v>1.1280183066798516E-2</v>
      </c>
      <c r="Z534" s="342">
        <v>3450.95</v>
      </c>
      <c r="AA534" s="344">
        <f t="shared" si="81"/>
        <v>2.1676400878902539E-2</v>
      </c>
      <c r="AB534" s="342">
        <v>18348.3</v>
      </c>
      <c r="AC534" s="344">
        <f t="shared" si="89"/>
        <v>0.1152509037355996</v>
      </c>
      <c r="AD534" s="342">
        <v>36125.230000000003</v>
      </c>
      <c r="AE534" s="342">
        <v>2489.92</v>
      </c>
      <c r="AF534" s="344">
        <f t="shared" si="82"/>
        <v>6.8924682278839466E-2</v>
      </c>
      <c r="AG534" s="342">
        <v>1812.37</v>
      </c>
      <c r="AH534" s="344">
        <f t="shared" si="83"/>
        <v>5.0169092349031406E-2</v>
      </c>
      <c r="AI534" s="342">
        <v>3903.61</v>
      </c>
      <c r="AJ534" s="344">
        <f t="shared" si="84"/>
        <v>0.10805772032454879</v>
      </c>
      <c r="AK534" s="342">
        <v>15081.4</v>
      </c>
      <c r="AL534" s="784">
        <f t="shared" si="85"/>
        <v>0.4174755427162678</v>
      </c>
      <c r="AM534" s="350">
        <f>IFERROR(T534/(D534+D492+D441)*90,"0.00")</f>
        <v>30.41782445701412</v>
      </c>
      <c r="AN534" s="350">
        <f>IFERROR(U534/(F534+F492+F441)*90,"0.00")</f>
        <v>26.143879925338751</v>
      </c>
      <c r="AO534" s="350">
        <f>IFERROR(AD534/(E534+E492+E441)*90,"0.00")</f>
        <v>108.80729225929521</v>
      </c>
      <c r="AP534" s="639">
        <f t="shared" si="86"/>
        <v>4.7679631391887363E-2</v>
      </c>
    </row>
    <row r="535" spans="1:42" x14ac:dyDescent="0.2">
      <c r="A535" s="638">
        <v>42704</v>
      </c>
      <c r="B535" s="341" t="s">
        <v>137</v>
      </c>
      <c r="C535" s="351" t="s">
        <v>199</v>
      </c>
      <c r="D535" s="342">
        <v>227884.190006541</v>
      </c>
      <c r="E535" s="342">
        <v>10163</v>
      </c>
      <c r="F535" s="342">
        <v>217721.190006541</v>
      </c>
      <c r="G535" s="342">
        <v>139861.769850463</v>
      </c>
      <c r="H535" s="342">
        <v>81902.949784964294</v>
      </c>
      <c r="I535" s="342">
        <v>57958.820065498403</v>
      </c>
      <c r="J535" s="342">
        <v>11357.7401794791</v>
      </c>
      <c r="K535" s="343">
        <f t="shared" si="74"/>
        <v>128504.02967098361</v>
      </c>
      <c r="L535" s="342">
        <v>89624.090131649704</v>
      </c>
      <c r="M535" s="342">
        <v>13770.209997489999</v>
      </c>
      <c r="N535" s="354">
        <v>1081</v>
      </c>
      <c r="O535" s="343">
        <f t="shared" si="75"/>
        <v>210.80868640753098</v>
      </c>
      <c r="P535" s="343">
        <f t="shared" si="76"/>
        <v>115.16178527049146</v>
      </c>
      <c r="Q535" s="343">
        <f t="shared" si="77"/>
        <v>129.38184074973424</v>
      </c>
      <c r="R535" s="344">
        <f t="shared" si="78"/>
        <v>0.61374055763345503</v>
      </c>
      <c r="S535" s="344">
        <f t="shared" si="79"/>
        <v>1.2362690024357545</v>
      </c>
      <c r="T535" s="343">
        <f t="shared" si="80"/>
        <v>222619.97999999998</v>
      </c>
      <c r="U535" s="342">
        <v>179774</v>
      </c>
      <c r="V535" s="342">
        <v>6356.28</v>
      </c>
      <c r="W535" s="344">
        <f t="shared" si="87"/>
        <v>3.5357059419048362E-2</v>
      </c>
      <c r="X535" s="342">
        <v>4503.1899999999996</v>
      </c>
      <c r="Y535" s="344">
        <f t="shared" si="88"/>
        <v>2.5049172850356557E-2</v>
      </c>
      <c r="Z535" s="342">
        <v>4109.76</v>
      </c>
      <c r="AA535" s="344">
        <f t="shared" si="81"/>
        <v>2.2860702882508039E-2</v>
      </c>
      <c r="AB535" s="342">
        <v>6357.63</v>
      </c>
      <c r="AC535" s="344">
        <f t="shared" si="89"/>
        <v>3.5364568847553041E-2</v>
      </c>
      <c r="AD535" s="342">
        <v>42845.979999999996</v>
      </c>
      <c r="AE535" s="342">
        <v>2848.52</v>
      </c>
      <c r="AF535" s="344">
        <f t="shared" si="82"/>
        <v>6.6482783215601568E-2</v>
      </c>
      <c r="AG535" s="342">
        <v>2541.63</v>
      </c>
      <c r="AH535" s="344">
        <f t="shared" si="83"/>
        <v>5.9320150921976816E-2</v>
      </c>
      <c r="AI535" s="342">
        <v>2060.17</v>
      </c>
      <c r="AJ535" s="344">
        <f t="shared" si="84"/>
        <v>4.808315739306232E-2</v>
      </c>
      <c r="AK535" s="342">
        <v>21452.06</v>
      </c>
      <c r="AL535" s="784">
        <f t="shared" si="85"/>
        <v>0.50067847672056986</v>
      </c>
      <c r="AM535" s="350">
        <f>IFERROR(T535/(D535+D494+D443)*90,"0.00")</f>
        <v>29.915518863495699</v>
      </c>
      <c r="AN535" s="350">
        <f>IFERROR(U535/(F535+F494+F443)*90,"0.00")</f>
        <v>25.381134050379927</v>
      </c>
      <c r="AO535" s="350">
        <f>IFERROR(AD535/(E535+E494+E443)*90,"0.00")</f>
        <v>119.46645393147034</v>
      </c>
      <c r="AP535" s="639">
        <f t="shared" si="86"/>
        <v>9.1234237500445223E-2</v>
      </c>
    </row>
    <row r="536" spans="1:42" x14ac:dyDescent="0.2">
      <c r="A536" s="638">
        <v>42704</v>
      </c>
      <c r="B536" s="341" t="s">
        <v>137</v>
      </c>
      <c r="C536" s="351" t="s">
        <v>201</v>
      </c>
      <c r="D536" s="342">
        <v>242116.40000833201</v>
      </c>
      <c r="E536" s="342">
        <v>9331</v>
      </c>
      <c r="F536" s="342">
        <v>232785.40000833201</v>
      </c>
      <c r="G536" s="342">
        <v>136766.25987189999</v>
      </c>
      <c r="H536" s="342">
        <v>86408.109803855405</v>
      </c>
      <c r="I536" s="342">
        <v>50358.150068044699</v>
      </c>
      <c r="J536" s="342">
        <v>12257.2301883698</v>
      </c>
      <c r="K536" s="343">
        <f t="shared" si="74"/>
        <v>124509.02968353032</v>
      </c>
      <c r="L536" s="342">
        <v>101867.54004481201</v>
      </c>
      <c r="M536" s="342">
        <v>22815.399939656301</v>
      </c>
      <c r="N536" s="354">
        <v>1109</v>
      </c>
      <c r="O536" s="343">
        <f t="shared" si="75"/>
        <v>218.31956718515059</v>
      </c>
      <c r="P536" s="343">
        <f t="shared" si="76"/>
        <v>105.89130750573825</v>
      </c>
      <c r="Q536" s="343">
        <f t="shared" si="77"/>
        <v>123.32394938854834</v>
      </c>
      <c r="R536" s="344">
        <f t="shared" si="78"/>
        <v>0.56487813244866325</v>
      </c>
      <c r="S536" s="344">
        <f t="shared" si="79"/>
        <v>1.3003533220939383</v>
      </c>
      <c r="T536" s="343">
        <f t="shared" si="80"/>
        <v>266228.94</v>
      </c>
      <c r="U536" s="342">
        <v>202003.48</v>
      </c>
      <c r="V536" s="342">
        <v>6581.32</v>
      </c>
      <c r="W536" s="344">
        <f t="shared" si="87"/>
        <v>3.2580230796023908E-2</v>
      </c>
      <c r="X536" s="342">
        <v>4206.55</v>
      </c>
      <c r="Y536" s="344">
        <f t="shared" si="88"/>
        <v>2.0824146197877383E-2</v>
      </c>
      <c r="Z536" s="342">
        <v>7559.22</v>
      </c>
      <c r="AA536" s="344">
        <f t="shared" si="81"/>
        <v>3.74212365054305E-2</v>
      </c>
      <c r="AB536" s="342">
        <v>14233.73</v>
      </c>
      <c r="AC536" s="344">
        <f t="shared" si="89"/>
        <v>7.0462795987475055E-2</v>
      </c>
      <c r="AD536" s="342">
        <v>64225.460000000006</v>
      </c>
      <c r="AE536" s="342">
        <v>2372.14</v>
      </c>
      <c r="AF536" s="344">
        <f t="shared" si="82"/>
        <v>3.6934573921307834E-2</v>
      </c>
      <c r="AG536" s="342">
        <v>5693.79</v>
      </c>
      <c r="AH536" s="344">
        <f t="shared" si="83"/>
        <v>8.8653160288770211E-2</v>
      </c>
      <c r="AI536" s="342">
        <v>3667.97</v>
      </c>
      <c r="AJ536" s="344">
        <f t="shared" si="84"/>
        <v>5.7110840467316223E-2</v>
      </c>
      <c r="AK536" s="342">
        <v>37014.550000000003</v>
      </c>
      <c r="AL536" s="784">
        <f t="shared" si="85"/>
        <v>0.5763220691607347</v>
      </c>
      <c r="AM536" s="350">
        <f>IFERROR(T536/(D536+D496+D445)*90,"0.00")</f>
        <v>34.95077418376281</v>
      </c>
      <c r="AN536" s="350">
        <f>IFERROR(U536/(F536+F496+F445)*90,"0.00")</f>
        <v>27.558501612101164</v>
      </c>
      <c r="AO536" s="350">
        <f>IFERROR(AD536/(E536+E496+E445)*90,"0.00")</f>
        <v>223.57435599907174</v>
      </c>
      <c r="AP536" s="639">
        <f t="shared" si="86"/>
        <v>0.10437596053015044</v>
      </c>
    </row>
    <row r="537" spans="1:42" x14ac:dyDescent="0.2">
      <c r="A537" s="638">
        <v>42704</v>
      </c>
      <c r="B537" s="341" t="s">
        <v>137</v>
      </c>
      <c r="C537" s="351" t="s">
        <v>203</v>
      </c>
      <c r="D537" s="342">
        <v>184807.05000761</v>
      </c>
      <c r="E537" s="342">
        <v>10887</v>
      </c>
      <c r="F537" s="342">
        <v>173920.05000761</v>
      </c>
      <c r="G537" s="342">
        <v>97945.509749568999</v>
      </c>
      <c r="H537" s="342">
        <v>49292.679701387897</v>
      </c>
      <c r="I537" s="342">
        <v>48652.830048181102</v>
      </c>
      <c r="J537" s="342">
        <v>8117.0700798034704</v>
      </c>
      <c r="K537" s="343">
        <f t="shared" si="74"/>
        <v>89828.439669765532</v>
      </c>
      <c r="L537" s="342">
        <v>58055.670213699297</v>
      </c>
      <c r="M537" s="342">
        <v>11938.9200021774</v>
      </c>
      <c r="N537" s="354">
        <v>936</v>
      </c>
      <c r="O537" s="343">
        <f t="shared" si="75"/>
        <v>197.44342949530983</v>
      </c>
      <c r="P537" s="343">
        <f t="shared" si="76"/>
        <v>122.66288439287746</v>
      </c>
      <c r="Q537" s="343">
        <f t="shared" si="77"/>
        <v>104.6426386213344</v>
      </c>
      <c r="R537" s="344">
        <f t="shared" si="78"/>
        <v>0.52998795092252049</v>
      </c>
      <c r="S537" s="344">
        <f t="shared" si="79"/>
        <v>0.91799195835935454</v>
      </c>
      <c r="T537" s="343">
        <f t="shared" si="80"/>
        <v>174166.22999999998</v>
      </c>
      <c r="U537" s="342">
        <v>142236.18</v>
      </c>
      <c r="V537" s="342">
        <v>5728.04</v>
      </c>
      <c r="W537" s="344">
        <f t="shared" si="87"/>
        <v>4.0271328996602691E-2</v>
      </c>
      <c r="X537" s="342">
        <v>3098.87</v>
      </c>
      <c r="Y537" s="344">
        <f t="shared" si="88"/>
        <v>2.1786791518163665E-2</v>
      </c>
      <c r="Z537" s="342">
        <v>2652.53</v>
      </c>
      <c r="AA537" s="344">
        <f t="shared" si="81"/>
        <v>1.8648771360423207E-2</v>
      </c>
      <c r="AB537" s="342">
        <v>8468.5499999999993</v>
      </c>
      <c r="AC537" s="344">
        <f t="shared" si="89"/>
        <v>5.9538649027272808E-2</v>
      </c>
      <c r="AD537" s="342">
        <v>31930.049999999996</v>
      </c>
      <c r="AE537" s="342">
        <v>1702.89</v>
      </c>
      <c r="AF537" s="344">
        <f t="shared" si="82"/>
        <v>5.33318926841643E-2</v>
      </c>
      <c r="AG537" s="342">
        <v>1831.39</v>
      </c>
      <c r="AH537" s="344">
        <f t="shared" si="83"/>
        <v>5.7356314819425602E-2</v>
      </c>
      <c r="AI537" s="342">
        <v>1497.22</v>
      </c>
      <c r="AJ537" s="344">
        <f t="shared" si="84"/>
        <v>4.6890624975532459E-2</v>
      </c>
      <c r="AK537" s="342">
        <v>16368.88</v>
      </c>
      <c r="AL537" s="784">
        <f t="shared" si="85"/>
        <v>0.51264811674269228</v>
      </c>
      <c r="AM537" s="350">
        <f>IFERROR(T537/(D537+D498+D447)*90,"0.00")</f>
        <v>32.966620281694141</v>
      </c>
      <c r="AN537" s="350">
        <f>IFERROR(U537/(F537+F498+F447)*90,"0.00")</f>
        <v>28.660036130512044</v>
      </c>
      <c r="AO537" s="350">
        <f>IFERROR(AD537/(E537+E498+E447)*90,"0.00")</f>
        <v>99.708701988133626</v>
      </c>
      <c r="AP537" s="639">
        <f t="shared" si="86"/>
        <v>7.0698512117305184E-2</v>
      </c>
    </row>
    <row r="538" spans="1:42" x14ac:dyDescent="0.2">
      <c r="A538" s="638">
        <v>42704</v>
      </c>
      <c r="B538" s="341" t="s">
        <v>137</v>
      </c>
      <c r="C538" s="351" t="s">
        <v>204</v>
      </c>
      <c r="D538" s="342">
        <v>80112.830000648304</v>
      </c>
      <c r="E538" s="342">
        <v>5201</v>
      </c>
      <c r="F538" s="342">
        <v>74911.830000648304</v>
      </c>
      <c r="G538" s="342">
        <v>52025.429948449098</v>
      </c>
      <c r="H538" s="342">
        <v>29236.549911141399</v>
      </c>
      <c r="I538" s="342">
        <v>22788.880037307699</v>
      </c>
      <c r="J538" s="342">
        <v>2143.51999306679</v>
      </c>
      <c r="K538" s="343">
        <f t="shared" si="74"/>
        <v>49881.909955382311</v>
      </c>
      <c r="L538" s="342">
        <v>36334.070156097398</v>
      </c>
      <c r="M538" s="342">
        <v>78</v>
      </c>
      <c r="N538" s="354">
        <v>428</v>
      </c>
      <c r="O538" s="343">
        <f t="shared" si="75"/>
        <v>187.17950934730914</v>
      </c>
      <c r="P538" s="343">
        <f t="shared" si="76"/>
        <v>102.10457907605353</v>
      </c>
      <c r="Q538" s="343">
        <f t="shared" si="77"/>
        <v>121.55474287020817</v>
      </c>
      <c r="R538" s="344">
        <f t="shared" si="78"/>
        <v>0.64940197404121269</v>
      </c>
      <c r="S538" s="344">
        <f t="shared" si="79"/>
        <v>1.2518981081124696</v>
      </c>
      <c r="T538" s="343">
        <f t="shared" si="80"/>
        <v>67338.83</v>
      </c>
      <c r="U538" s="342">
        <v>49698.54</v>
      </c>
      <c r="V538" s="342">
        <v>1161.83</v>
      </c>
      <c r="W538" s="344">
        <f t="shared" si="87"/>
        <v>2.3377547911870245E-2</v>
      </c>
      <c r="X538" s="342">
        <v>1095.23</v>
      </c>
      <c r="Y538" s="344">
        <f t="shared" si="88"/>
        <v>2.2037468303897859E-2</v>
      </c>
      <c r="Z538" s="342">
        <v>1771.95</v>
      </c>
      <c r="AA538" s="344">
        <f t="shared" si="81"/>
        <v>3.5653964885085154E-2</v>
      </c>
      <c r="AB538" s="342">
        <v>2452.7399999999998</v>
      </c>
      <c r="AC538" s="344">
        <f t="shared" si="89"/>
        <v>4.9352355220092979E-2</v>
      </c>
      <c r="AD538" s="342">
        <v>17640.29</v>
      </c>
      <c r="AE538" s="342">
        <v>2594.85</v>
      </c>
      <c r="AF538" s="344">
        <f t="shared" si="82"/>
        <v>0.14709792185956125</v>
      </c>
      <c r="AG538" s="342">
        <v>812.12</v>
      </c>
      <c r="AH538" s="344">
        <f t="shared" si="83"/>
        <v>4.6037791895711465E-2</v>
      </c>
      <c r="AI538" s="342">
        <v>760.85</v>
      </c>
      <c r="AJ538" s="344">
        <f t="shared" si="84"/>
        <v>4.3131377091873202E-2</v>
      </c>
      <c r="AK538" s="342">
        <v>8700.68</v>
      </c>
      <c r="AL538" s="784">
        <f t="shared" si="85"/>
        <v>0.49322771904543516</v>
      </c>
      <c r="AM538" s="350">
        <f>IFERROR(T538/(D538+D499+D448)*90,"0.00")</f>
        <v>26.820133902871699</v>
      </c>
      <c r="AN538" s="350">
        <f>IFERROR(U538/(F538+F499+F448)*90,"0.00")</f>
        <v>21.037002789615226</v>
      </c>
      <c r="AO538" s="350">
        <f>IFERROR(AD538/(E538+E499+E448)*90,"0.00")</f>
        <v>118.9322121507229</v>
      </c>
      <c r="AP538" s="639">
        <f t="shared" si="86"/>
        <v>4.9049947888585001E-2</v>
      </c>
    </row>
    <row r="539" spans="1:42" x14ac:dyDescent="0.2">
      <c r="A539" s="638">
        <v>42704</v>
      </c>
      <c r="B539" s="341" t="s">
        <v>137</v>
      </c>
      <c r="C539" s="351" t="s">
        <v>206</v>
      </c>
      <c r="D539" s="342">
        <v>168294.470005549</v>
      </c>
      <c r="E539" s="342">
        <v>9133</v>
      </c>
      <c r="F539" s="342">
        <v>159161.470005549</v>
      </c>
      <c r="G539" s="342">
        <v>105355.60988223601</v>
      </c>
      <c r="H539" s="342">
        <v>60230.609850287401</v>
      </c>
      <c r="I539" s="342">
        <v>45125.000031948097</v>
      </c>
      <c r="J539" s="342">
        <v>6731.0200754404104</v>
      </c>
      <c r="K539" s="343">
        <f t="shared" si="74"/>
        <v>98624.589806795091</v>
      </c>
      <c r="L539" s="342">
        <v>64540.730116844199</v>
      </c>
      <c r="M539" s="342">
        <v>21007.179987698801</v>
      </c>
      <c r="N539" s="354">
        <v>847</v>
      </c>
      <c r="O539" s="343">
        <f t="shared" si="75"/>
        <v>198.69476978223022</v>
      </c>
      <c r="P539" s="343">
        <f t="shared" si="76"/>
        <v>97.693695278637534</v>
      </c>
      <c r="Q539" s="343">
        <f t="shared" si="77"/>
        <v>124.38678852684238</v>
      </c>
      <c r="R539" s="344">
        <f t="shared" si="78"/>
        <v>0.62601944008476162</v>
      </c>
      <c r="S539" s="344">
        <f t="shared" si="79"/>
        <v>1.3859746326079794</v>
      </c>
      <c r="T539" s="343">
        <f t="shared" si="80"/>
        <v>182227.95</v>
      </c>
      <c r="U539" s="342">
        <v>140098.76</v>
      </c>
      <c r="V539" s="342">
        <v>7167.61</v>
      </c>
      <c r="W539" s="344">
        <f t="shared" si="87"/>
        <v>5.1161123767262458E-2</v>
      </c>
      <c r="X539" s="342">
        <v>1899.36</v>
      </c>
      <c r="Y539" s="344">
        <f t="shared" si="88"/>
        <v>1.3557293440712822E-2</v>
      </c>
      <c r="Z539" s="342">
        <v>4101.7700000000004</v>
      </c>
      <c r="AA539" s="344">
        <f t="shared" si="81"/>
        <v>2.9277703814080867E-2</v>
      </c>
      <c r="AB539" s="342">
        <v>13446.65</v>
      </c>
      <c r="AC539" s="344">
        <f t="shared" si="89"/>
        <v>9.5979793111659217E-2</v>
      </c>
      <c r="AD539" s="342">
        <v>42129.19</v>
      </c>
      <c r="AE539" s="342">
        <v>3093.1</v>
      </c>
      <c r="AF539" s="344">
        <f t="shared" si="82"/>
        <v>7.341940350621505E-2</v>
      </c>
      <c r="AG539" s="342">
        <v>2130.4499999999998</v>
      </c>
      <c r="AH539" s="344">
        <f t="shared" si="83"/>
        <v>5.0569450777477556E-2</v>
      </c>
      <c r="AI539" s="342">
        <v>1736.58</v>
      </c>
      <c r="AJ539" s="344">
        <f t="shared" si="84"/>
        <v>4.1220351020278337E-2</v>
      </c>
      <c r="AK539" s="342">
        <v>22661.79</v>
      </c>
      <c r="AL539" s="784">
        <f t="shared" si="85"/>
        <v>0.53791183737451398</v>
      </c>
      <c r="AM539" s="350">
        <f>IFERROR(T539/(D539+D501+D450)*90,"0.00")</f>
        <v>33.478473944608389</v>
      </c>
      <c r="AN539" s="350">
        <f>IFERROR(U539/(F539+F501+F450)*90,"0.00")</f>
        <v>27.39184508133091</v>
      </c>
      <c r="AO539" s="350">
        <f>IFERROR(AD539/(E539+E501+E450)*90,"0.00")</f>
        <v>128.23847870937195</v>
      </c>
      <c r="AP539" s="639">
        <f t="shared" si="86"/>
        <v>8.1345014022251555E-2</v>
      </c>
    </row>
    <row r="540" spans="1:42" x14ac:dyDescent="0.2">
      <c r="A540" s="638">
        <v>42704</v>
      </c>
      <c r="B540" s="341" t="s">
        <v>137</v>
      </c>
      <c r="C540" s="351" t="s">
        <v>208</v>
      </c>
      <c r="D540" s="342">
        <v>144545.54000663801</v>
      </c>
      <c r="E540" s="342">
        <v>8509</v>
      </c>
      <c r="F540" s="342">
        <v>136036.54000663801</v>
      </c>
      <c r="G540" s="342">
        <v>84065.589878931598</v>
      </c>
      <c r="H540" s="342">
        <v>47998.429838806398</v>
      </c>
      <c r="I540" s="342">
        <v>36067.160040125302</v>
      </c>
      <c r="J540" s="342">
        <v>4678.9700040817297</v>
      </c>
      <c r="K540" s="343">
        <f t="shared" si="74"/>
        <v>79386.619874849974</v>
      </c>
      <c r="L540" s="342">
        <v>67285.330048561096</v>
      </c>
      <c r="M540" s="342">
        <v>16482.7999781668</v>
      </c>
      <c r="N540" s="354">
        <v>687</v>
      </c>
      <c r="O540" s="343">
        <f t="shared" si="75"/>
        <v>210.40107715667833</v>
      </c>
      <c r="P540" s="343">
        <f t="shared" si="76"/>
        <v>88.467845676725048</v>
      </c>
      <c r="Q540" s="343">
        <f t="shared" si="77"/>
        <v>122.3662152531757</v>
      </c>
      <c r="R540" s="344">
        <f t="shared" si="78"/>
        <v>0.58158549807258753</v>
      </c>
      <c r="S540" s="344">
        <f t="shared" si="79"/>
        <v>1.4985370344550359</v>
      </c>
      <c r="T540" s="343">
        <f t="shared" si="80"/>
        <v>155465.28999999998</v>
      </c>
      <c r="U540" s="342">
        <v>115938.75</v>
      </c>
      <c r="V540" s="342">
        <v>1809.66</v>
      </c>
      <c r="W540" s="344">
        <f t="shared" si="87"/>
        <v>1.5608758935213638E-2</v>
      </c>
      <c r="X540" s="342">
        <v>4557.95</v>
      </c>
      <c r="Y540" s="344">
        <f t="shared" si="88"/>
        <v>3.9313430582958671E-2</v>
      </c>
      <c r="Z540" s="342">
        <v>2892.44</v>
      </c>
      <c r="AA540" s="344">
        <f t="shared" si="81"/>
        <v>2.4948000560640855E-2</v>
      </c>
      <c r="AB540" s="342">
        <v>13644.23</v>
      </c>
      <c r="AC540" s="344">
        <f t="shared" si="89"/>
        <v>0.11768481202359003</v>
      </c>
      <c r="AD540" s="342">
        <v>39526.539999999994</v>
      </c>
      <c r="AE540" s="342">
        <v>1738.32</v>
      </c>
      <c r="AF540" s="344">
        <f t="shared" si="82"/>
        <v>4.3978552132314143E-2</v>
      </c>
      <c r="AG540" s="342">
        <v>2075.5</v>
      </c>
      <c r="AH540" s="344">
        <f t="shared" si="83"/>
        <v>5.2509023051347282E-2</v>
      </c>
      <c r="AI540" s="342">
        <v>2203.5700000000002</v>
      </c>
      <c r="AJ540" s="344">
        <f t="shared" si="84"/>
        <v>5.5749124512289729E-2</v>
      </c>
      <c r="AK540" s="342">
        <v>22622.76</v>
      </c>
      <c r="AL540" s="784">
        <f t="shared" si="85"/>
        <v>0.57234354436285095</v>
      </c>
      <c r="AM540" s="350">
        <f>IFERROR(T540/(D540+D503+D452)*90,"0.00")</f>
        <v>34.028516644638181</v>
      </c>
      <c r="AN540" s="350">
        <f>IFERROR(U540/(F540+F503+F452)*90,"0.00")</f>
        <v>26.865181400219655</v>
      </c>
      <c r="AO540" s="350">
        <f>IFERROR(AD540/(E540+E503+E452)*90,"0.00")</f>
        <v>156.16965626234688</v>
      </c>
      <c r="AP540" s="639">
        <f t="shared" si="86"/>
        <v>7.6985347115455516E-2</v>
      </c>
    </row>
    <row r="541" spans="1:42" x14ac:dyDescent="0.2">
      <c r="A541" s="638">
        <v>42704</v>
      </c>
      <c r="B541" s="341" t="s">
        <v>133</v>
      </c>
      <c r="C541" s="351" t="s">
        <v>161</v>
      </c>
      <c r="D541" s="342">
        <v>0</v>
      </c>
      <c r="E541" s="342">
        <v>0</v>
      </c>
      <c r="F541" s="342">
        <v>0</v>
      </c>
      <c r="G541" s="342">
        <v>35</v>
      </c>
      <c r="H541" s="342">
        <v>0</v>
      </c>
      <c r="I541" s="342">
        <v>35</v>
      </c>
      <c r="J541" s="342">
        <v>50</v>
      </c>
      <c r="K541" s="343">
        <f t="shared" si="74"/>
        <v>-15</v>
      </c>
      <c r="L541" s="342">
        <v>0</v>
      </c>
      <c r="M541" s="342">
        <v>-35</v>
      </c>
      <c r="N541" s="354">
        <v>0</v>
      </c>
      <c r="O541" s="343" t="str">
        <f t="shared" si="75"/>
        <v>$0.00</v>
      </c>
      <c r="P541" s="343" t="str">
        <f t="shared" si="76"/>
        <v>$0.00</v>
      </c>
      <c r="Q541" s="343" t="str">
        <f t="shared" si="77"/>
        <v>$0.00</v>
      </c>
      <c r="R541" s="344" t="str">
        <f t="shared" si="78"/>
        <v>0.00%</v>
      </c>
      <c r="S541" s="344">
        <f t="shared" si="79"/>
        <v>-2.3333333333333335</v>
      </c>
      <c r="T541" s="343">
        <f t="shared" si="80"/>
        <v>0</v>
      </c>
      <c r="U541" s="342">
        <v>0</v>
      </c>
      <c r="V541" s="342">
        <v>0</v>
      </c>
      <c r="W541" s="344" t="str">
        <f t="shared" si="87"/>
        <v>0.00%</v>
      </c>
      <c r="X541" s="342">
        <v>0</v>
      </c>
      <c r="Y541" s="344" t="str">
        <f t="shared" si="88"/>
        <v>0.00%</v>
      </c>
      <c r="Z541" s="342">
        <v>0</v>
      </c>
      <c r="AA541" s="344">
        <f t="shared" si="81"/>
        <v>0</v>
      </c>
      <c r="AB541" s="342">
        <v>0</v>
      </c>
      <c r="AC541" s="344" t="str">
        <f t="shared" si="89"/>
        <v>0.00%</v>
      </c>
      <c r="AD541" s="342">
        <v>0</v>
      </c>
      <c r="AE541" s="342">
        <v>0</v>
      </c>
      <c r="AF541" s="344" t="str">
        <f t="shared" si="82"/>
        <v>0.00%</v>
      </c>
      <c r="AG541" s="342">
        <v>0</v>
      </c>
      <c r="AH541" s="344" t="str">
        <f t="shared" si="83"/>
        <v>0.00%</v>
      </c>
      <c r="AI541" s="342">
        <v>0</v>
      </c>
      <c r="AJ541" s="344">
        <f t="shared" si="84"/>
        <v>0</v>
      </c>
      <c r="AK541" s="342">
        <v>0</v>
      </c>
      <c r="AL541" s="784" t="str">
        <f t="shared" si="85"/>
        <v>0.00%</v>
      </c>
      <c r="AM541" s="350" t="str">
        <f>IFERROR(T541/(D541+D454+D403)*90,"0.00")</f>
        <v>0.00</v>
      </c>
      <c r="AN541" s="350" t="str">
        <f>IFERROR(U541/(F541+F454+F403)*90,"0.00")</f>
        <v>0.00</v>
      </c>
      <c r="AO541" s="350" t="str">
        <f>IFERROR(AD541/(E541+E454+E403)*90,"0.00")</f>
        <v>0.00</v>
      </c>
      <c r="AP541" s="639">
        <f t="shared" si="86"/>
        <v>1.4285714285714286</v>
      </c>
    </row>
    <row r="542" spans="1:42" x14ac:dyDescent="0.2">
      <c r="A542" s="638">
        <v>42704</v>
      </c>
      <c r="B542" s="341" t="s">
        <v>135</v>
      </c>
      <c r="C542" s="351" t="s">
        <v>182</v>
      </c>
      <c r="D542" s="342">
        <v>0</v>
      </c>
      <c r="E542" s="342">
        <v>0</v>
      </c>
      <c r="F542" s="342">
        <v>0</v>
      </c>
      <c r="G542" s="342">
        <v>25</v>
      </c>
      <c r="H542" s="342">
        <v>25</v>
      </c>
      <c r="I542" s="342">
        <v>0</v>
      </c>
      <c r="J542" s="342">
        <v>0</v>
      </c>
      <c r="K542" s="343">
        <f t="shared" si="74"/>
        <v>25</v>
      </c>
      <c r="L542" s="342">
        <v>162</v>
      </c>
      <c r="M542" s="342">
        <v>-9.6700000762930003</v>
      </c>
      <c r="N542" s="354">
        <v>0</v>
      </c>
      <c r="O542" s="343" t="str">
        <f t="shared" si="75"/>
        <v>$0.00</v>
      </c>
      <c r="P542" s="343" t="str">
        <f t="shared" si="76"/>
        <v>$0.00</v>
      </c>
      <c r="Q542" s="343" t="str">
        <f t="shared" si="77"/>
        <v>$0.00</v>
      </c>
      <c r="R542" s="344" t="str">
        <f t="shared" si="78"/>
        <v>0.00%</v>
      </c>
      <c r="S542" s="344">
        <f t="shared" si="79"/>
        <v>-0.16411737683004665</v>
      </c>
      <c r="T542" s="343">
        <f t="shared" si="80"/>
        <v>0</v>
      </c>
      <c r="U542" s="342">
        <v>0</v>
      </c>
      <c r="V542" s="342">
        <v>0</v>
      </c>
      <c r="W542" s="344" t="str">
        <f t="shared" si="87"/>
        <v>0.00%</v>
      </c>
      <c r="X542" s="342">
        <v>0</v>
      </c>
      <c r="Y542" s="344" t="str">
        <f t="shared" si="88"/>
        <v>0.00%</v>
      </c>
      <c r="Z542" s="342">
        <v>0</v>
      </c>
      <c r="AA542" s="344">
        <f t="shared" si="81"/>
        <v>0</v>
      </c>
      <c r="AB542" s="342">
        <v>0</v>
      </c>
      <c r="AC542" s="344" t="str">
        <f t="shared" si="89"/>
        <v>0.00%</v>
      </c>
      <c r="AD542" s="342">
        <v>0</v>
      </c>
      <c r="AE542" s="342">
        <v>0</v>
      </c>
      <c r="AF542" s="344" t="str">
        <f t="shared" si="82"/>
        <v>0.00%</v>
      </c>
      <c r="AG542" s="342">
        <v>0</v>
      </c>
      <c r="AH542" s="344" t="str">
        <f t="shared" si="83"/>
        <v>0.00%</v>
      </c>
      <c r="AI542" s="342">
        <v>0</v>
      </c>
      <c r="AJ542" s="344">
        <f t="shared" si="84"/>
        <v>0</v>
      </c>
      <c r="AK542" s="342">
        <v>0</v>
      </c>
      <c r="AL542" s="784" t="str">
        <f t="shared" si="85"/>
        <v>0.00%</v>
      </c>
      <c r="AM542" s="350" t="str">
        <f>IFERROR(T542/(D542+D474+D423)*90,"0.00")</f>
        <v>0.00</v>
      </c>
      <c r="AN542" s="350" t="str">
        <f>IFERROR(U542/(F542+F474+F423)*90,"0.00")</f>
        <v>0.00</v>
      </c>
      <c r="AO542" s="350" t="str">
        <f>IFERROR(AD542/(E542+E474+E423)*90,"0.00")</f>
        <v>0.00</v>
      </c>
      <c r="AP542" s="639">
        <f t="shared" si="86"/>
        <v>0</v>
      </c>
    </row>
    <row r="543" spans="1:42" x14ac:dyDescent="0.2">
      <c r="A543" s="638">
        <v>42704</v>
      </c>
      <c r="B543" s="341" t="s">
        <v>135</v>
      </c>
      <c r="C543" s="351" t="s">
        <v>184</v>
      </c>
      <c r="D543" s="342">
        <v>0</v>
      </c>
      <c r="E543" s="342">
        <v>0</v>
      </c>
      <c r="F543" s="342">
        <v>0</v>
      </c>
      <c r="G543" s="342">
        <v>20</v>
      </c>
      <c r="H543" s="342">
        <v>20</v>
      </c>
      <c r="I543" s="342">
        <v>0</v>
      </c>
      <c r="J543" s="342">
        <v>0</v>
      </c>
      <c r="K543" s="343">
        <f t="shared" si="74"/>
        <v>20</v>
      </c>
      <c r="L543" s="342">
        <v>167</v>
      </c>
      <c r="M543" s="342">
        <v>-20</v>
      </c>
      <c r="N543" s="354">
        <v>0</v>
      </c>
      <c r="O543" s="343" t="str">
        <f t="shared" si="75"/>
        <v>$0.00</v>
      </c>
      <c r="P543" s="343" t="str">
        <f t="shared" si="76"/>
        <v>$0.00</v>
      </c>
      <c r="Q543" s="343" t="str">
        <f t="shared" si="77"/>
        <v>$0.00</v>
      </c>
      <c r="R543" s="344" t="str">
        <f t="shared" si="78"/>
        <v>0.00%</v>
      </c>
      <c r="S543" s="344">
        <f t="shared" si="79"/>
        <v>-0.1360544217687075</v>
      </c>
      <c r="T543" s="343">
        <f t="shared" si="80"/>
        <v>0</v>
      </c>
      <c r="U543" s="342">
        <v>0</v>
      </c>
      <c r="V543" s="342">
        <v>0</v>
      </c>
      <c r="W543" s="344" t="str">
        <f t="shared" si="87"/>
        <v>0.00%</v>
      </c>
      <c r="X543" s="342">
        <v>0</v>
      </c>
      <c r="Y543" s="344" t="str">
        <f t="shared" si="88"/>
        <v>0.00%</v>
      </c>
      <c r="Z543" s="342">
        <v>0</v>
      </c>
      <c r="AA543" s="344">
        <f t="shared" si="81"/>
        <v>0</v>
      </c>
      <c r="AB543" s="342">
        <v>0</v>
      </c>
      <c r="AC543" s="344" t="str">
        <f t="shared" si="89"/>
        <v>0.00%</v>
      </c>
      <c r="AD543" s="342">
        <v>0</v>
      </c>
      <c r="AE543" s="342">
        <v>0</v>
      </c>
      <c r="AF543" s="344" t="str">
        <f t="shared" si="82"/>
        <v>0.00%</v>
      </c>
      <c r="AG543" s="342">
        <v>0</v>
      </c>
      <c r="AH543" s="344" t="str">
        <f t="shared" si="83"/>
        <v>0.00%</v>
      </c>
      <c r="AI543" s="342">
        <v>0</v>
      </c>
      <c r="AJ543" s="344">
        <f t="shared" si="84"/>
        <v>0</v>
      </c>
      <c r="AK543" s="342">
        <v>0</v>
      </c>
      <c r="AL543" s="784" t="str">
        <f t="shared" si="85"/>
        <v>0.00%</v>
      </c>
      <c r="AM543" s="350" t="str">
        <f>IFERROR(T543/(D543+D476+D425)*90,"0.00")</f>
        <v>0.00</v>
      </c>
      <c r="AN543" s="350" t="str">
        <f>IFERROR(U543/(F543+F476+F425)*90,"0.00")</f>
        <v>0.00</v>
      </c>
      <c r="AO543" s="350" t="str">
        <f>IFERROR(AD543/(E543+E476+E425)*90,"0.00")</f>
        <v>0.00</v>
      </c>
      <c r="AP543" s="639">
        <f t="shared" si="86"/>
        <v>0</v>
      </c>
    </row>
    <row r="544" spans="1:42" x14ac:dyDescent="0.2">
      <c r="A544" s="638">
        <v>42704</v>
      </c>
      <c r="B544" s="341" t="s">
        <v>137</v>
      </c>
      <c r="C544" s="351" t="s">
        <v>205</v>
      </c>
      <c r="D544" s="342">
        <v>0</v>
      </c>
      <c r="E544" s="342">
        <v>0</v>
      </c>
      <c r="F544" s="342">
        <v>0</v>
      </c>
      <c r="G544" s="342">
        <v>0</v>
      </c>
      <c r="H544" s="342">
        <v>0</v>
      </c>
      <c r="I544" s="342">
        <v>0</v>
      </c>
      <c r="J544" s="342">
        <v>0</v>
      </c>
      <c r="K544" s="343">
        <f t="shared" si="74"/>
        <v>0</v>
      </c>
      <c r="L544" s="342">
        <v>0</v>
      </c>
      <c r="M544" s="342">
        <v>-30</v>
      </c>
      <c r="N544" s="354">
        <v>0</v>
      </c>
      <c r="O544" s="343" t="str">
        <f t="shared" si="75"/>
        <v>$0.00</v>
      </c>
      <c r="P544" s="343" t="str">
        <f t="shared" si="76"/>
        <v>$0.00</v>
      </c>
      <c r="Q544" s="343" t="str">
        <f t="shared" si="77"/>
        <v>$0.00</v>
      </c>
      <c r="R544" s="344" t="str">
        <f t="shared" si="78"/>
        <v>0.00%</v>
      </c>
      <c r="S544" s="344">
        <f t="shared" si="79"/>
        <v>0</v>
      </c>
      <c r="T544" s="343">
        <f t="shared" si="80"/>
        <v>0</v>
      </c>
      <c r="U544" s="342">
        <v>0</v>
      </c>
      <c r="V544" s="342">
        <v>0</v>
      </c>
      <c r="W544" s="344" t="str">
        <f t="shared" si="87"/>
        <v>0.00%</v>
      </c>
      <c r="X544" s="342">
        <v>0</v>
      </c>
      <c r="Y544" s="344" t="str">
        <f t="shared" si="88"/>
        <v>0.00%</v>
      </c>
      <c r="Z544" s="342">
        <v>0</v>
      </c>
      <c r="AA544" s="344">
        <f t="shared" si="81"/>
        <v>0</v>
      </c>
      <c r="AB544" s="342">
        <v>0</v>
      </c>
      <c r="AC544" s="344" t="str">
        <f t="shared" si="89"/>
        <v>0.00%</v>
      </c>
      <c r="AD544" s="342">
        <v>0</v>
      </c>
      <c r="AE544" s="342">
        <v>0</v>
      </c>
      <c r="AF544" s="344" t="str">
        <f t="shared" si="82"/>
        <v>0.00%</v>
      </c>
      <c r="AG544" s="342">
        <v>0</v>
      </c>
      <c r="AH544" s="344" t="str">
        <f t="shared" si="83"/>
        <v>0.00%</v>
      </c>
      <c r="AI544" s="342">
        <v>0</v>
      </c>
      <c r="AJ544" s="344">
        <f t="shared" si="84"/>
        <v>0</v>
      </c>
      <c r="AK544" s="342">
        <v>0</v>
      </c>
      <c r="AL544" s="784" t="str">
        <f t="shared" si="85"/>
        <v>0.00%</v>
      </c>
      <c r="AM544" s="350">
        <v>0</v>
      </c>
      <c r="AN544" s="350">
        <v>0</v>
      </c>
      <c r="AO544" s="350">
        <v>0</v>
      </c>
      <c r="AP544" s="639">
        <f t="shared" si="86"/>
        <v>0</v>
      </c>
    </row>
    <row r="545" spans="1:42" x14ac:dyDescent="0.2">
      <c r="A545" s="638">
        <v>42704</v>
      </c>
      <c r="B545" s="341" t="s">
        <v>133</v>
      </c>
      <c r="C545" s="351" t="s">
        <v>167</v>
      </c>
      <c r="D545" s="342">
        <v>0</v>
      </c>
      <c r="E545" s="342">
        <v>0</v>
      </c>
      <c r="F545" s="342">
        <v>0</v>
      </c>
      <c r="G545" s="342">
        <v>50</v>
      </c>
      <c r="H545" s="342">
        <v>0</v>
      </c>
      <c r="I545" s="342">
        <v>50</v>
      </c>
      <c r="J545" s="342">
        <v>0</v>
      </c>
      <c r="K545" s="343">
        <f t="shared" si="74"/>
        <v>50</v>
      </c>
      <c r="L545" s="342">
        <v>0</v>
      </c>
      <c r="M545" s="342">
        <v>2902.3900195956198</v>
      </c>
      <c r="N545" s="354">
        <v>0</v>
      </c>
      <c r="O545" s="343" t="str">
        <f t="shared" si="75"/>
        <v>$0.00</v>
      </c>
      <c r="P545" s="343" t="str">
        <f t="shared" si="76"/>
        <v>$0.00</v>
      </c>
      <c r="Q545" s="343" t="str">
        <f t="shared" si="77"/>
        <v>$0.00</v>
      </c>
      <c r="R545" s="344" t="str">
        <f t="shared" si="78"/>
        <v>0.00%</v>
      </c>
      <c r="S545" s="344">
        <f t="shared" si="79"/>
        <v>-1.72271816201209E-2</v>
      </c>
      <c r="T545" s="343">
        <f t="shared" si="80"/>
        <v>90</v>
      </c>
      <c r="U545" s="342">
        <v>90</v>
      </c>
      <c r="V545" s="342">
        <v>0</v>
      </c>
      <c r="W545" s="344">
        <f t="shared" si="87"/>
        <v>0</v>
      </c>
      <c r="X545" s="342">
        <v>0</v>
      </c>
      <c r="Y545" s="344">
        <f t="shared" si="88"/>
        <v>0</v>
      </c>
      <c r="Z545" s="342">
        <v>0</v>
      </c>
      <c r="AA545" s="344">
        <f t="shared" si="81"/>
        <v>0</v>
      </c>
      <c r="AB545" s="342">
        <v>90</v>
      </c>
      <c r="AC545" s="344">
        <f t="shared" si="89"/>
        <v>1</v>
      </c>
      <c r="AD545" s="342">
        <v>0</v>
      </c>
      <c r="AE545" s="342">
        <v>0</v>
      </c>
      <c r="AF545" s="344" t="str">
        <f t="shared" si="82"/>
        <v>0.00%</v>
      </c>
      <c r="AG545" s="342">
        <v>0</v>
      </c>
      <c r="AH545" s="344" t="str">
        <f t="shared" si="83"/>
        <v>0.00%</v>
      </c>
      <c r="AI545" s="342">
        <v>0</v>
      </c>
      <c r="AJ545" s="344">
        <f t="shared" si="84"/>
        <v>0</v>
      </c>
      <c r="AK545" s="342">
        <v>0</v>
      </c>
      <c r="AL545" s="784" t="str">
        <f t="shared" si="85"/>
        <v>0.00%</v>
      </c>
      <c r="AM545" s="350" t="str">
        <f>IFERROR(T545/(D545+D460+D409)*90,"0.00")</f>
        <v>0.00</v>
      </c>
      <c r="AN545" s="350" t="str">
        <f>IFERROR(U545/(F545+F460+F409)*90,"0.00")</f>
        <v>0.00</v>
      </c>
      <c r="AO545" s="350" t="str">
        <f>IFERROR(AD545/(E545+E460+E409)*90,"0.00")</f>
        <v>0.00</v>
      </c>
      <c r="AP545" s="639">
        <f t="shared" si="86"/>
        <v>0</v>
      </c>
    </row>
    <row r="546" spans="1:42" x14ac:dyDescent="0.2">
      <c r="A546" s="638">
        <v>42704</v>
      </c>
      <c r="B546" s="341" t="s">
        <v>133</v>
      </c>
      <c r="C546" s="351" t="s">
        <v>175</v>
      </c>
      <c r="D546" s="342">
        <v>0</v>
      </c>
      <c r="E546" s="342">
        <v>0</v>
      </c>
      <c r="F546" s="342">
        <v>0</v>
      </c>
      <c r="G546" s="342">
        <v>0</v>
      </c>
      <c r="H546" s="342">
        <v>0</v>
      </c>
      <c r="I546" s="342">
        <v>0</v>
      </c>
      <c r="J546" s="342">
        <v>0</v>
      </c>
      <c r="K546" s="343">
        <f t="shared" si="74"/>
        <v>0</v>
      </c>
      <c r="L546" s="342">
        <v>0</v>
      </c>
      <c r="M546" s="342">
        <v>3684.7299926876999</v>
      </c>
      <c r="N546" s="354">
        <v>0</v>
      </c>
      <c r="O546" s="343" t="str">
        <f t="shared" si="75"/>
        <v>$0.00</v>
      </c>
      <c r="P546" s="343" t="str">
        <f t="shared" si="76"/>
        <v>$0.00</v>
      </c>
      <c r="Q546" s="343" t="str">
        <f t="shared" si="77"/>
        <v>$0.00</v>
      </c>
      <c r="R546" s="344" t="str">
        <f t="shared" si="78"/>
        <v>0.00%</v>
      </c>
      <c r="S546" s="344">
        <f t="shared" si="79"/>
        <v>0</v>
      </c>
      <c r="T546" s="343">
        <f t="shared" si="80"/>
        <v>276</v>
      </c>
      <c r="U546" s="342">
        <v>276</v>
      </c>
      <c r="V546" s="342">
        <v>0</v>
      </c>
      <c r="W546" s="344">
        <f t="shared" si="87"/>
        <v>0</v>
      </c>
      <c r="X546" s="342">
        <v>0</v>
      </c>
      <c r="Y546" s="344">
        <f t="shared" si="88"/>
        <v>0</v>
      </c>
      <c r="Z546" s="342">
        <v>0</v>
      </c>
      <c r="AA546" s="344">
        <f t="shared" si="81"/>
        <v>0</v>
      </c>
      <c r="AB546" s="342">
        <v>30</v>
      </c>
      <c r="AC546" s="344">
        <f t="shared" si="89"/>
        <v>0.10869565217391304</v>
      </c>
      <c r="AD546" s="342">
        <v>0</v>
      </c>
      <c r="AE546" s="342">
        <v>0</v>
      </c>
      <c r="AF546" s="344" t="str">
        <f t="shared" si="82"/>
        <v>0.00%</v>
      </c>
      <c r="AG546" s="342">
        <v>0</v>
      </c>
      <c r="AH546" s="344" t="str">
        <f t="shared" si="83"/>
        <v>0.00%</v>
      </c>
      <c r="AI546" s="342">
        <v>0</v>
      </c>
      <c r="AJ546" s="344">
        <f t="shared" si="84"/>
        <v>0</v>
      </c>
      <c r="AK546" s="342">
        <v>0</v>
      </c>
      <c r="AL546" s="784" t="str">
        <f t="shared" si="85"/>
        <v>0.00%</v>
      </c>
      <c r="AM546" s="350" t="str">
        <f>IFERROR(T546/(D546+D468+D417)*90,"0.00")</f>
        <v>0.00</v>
      </c>
      <c r="AN546" s="350" t="str">
        <f>IFERROR(U546/(E546+E468+E417)*90,"0.00")</f>
        <v>0.00</v>
      </c>
      <c r="AO546" s="350" t="str">
        <f>IFERROR(AD546/(D546+D468+D417)*90,"0.00")</f>
        <v>0.00</v>
      </c>
      <c r="AP546" s="639">
        <f t="shared" si="86"/>
        <v>0</v>
      </c>
    </row>
    <row r="547" spans="1:42" x14ac:dyDescent="0.2">
      <c r="A547" s="638">
        <v>42704</v>
      </c>
      <c r="B547" s="341" t="s">
        <v>134</v>
      </c>
      <c r="C547" s="351" t="s">
        <v>178</v>
      </c>
      <c r="D547" s="342">
        <v>363895.30034330301</v>
      </c>
      <c r="E547" s="342">
        <v>19237.190002441399</v>
      </c>
      <c r="F547" s="342">
        <v>344658.11034086201</v>
      </c>
      <c r="G547" s="342">
        <v>260945.81157267099</v>
      </c>
      <c r="H547" s="342">
        <v>168605.41155540899</v>
      </c>
      <c r="I547" s="342">
        <v>92340.400017261505</v>
      </c>
      <c r="J547" s="342">
        <v>42423.970620036103</v>
      </c>
      <c r="K547" s="343">
        <f t="shared" si="74"/>
        <v>218521.8409526344</v>
      </c>
      <c r="L547" s="342">
        <v>161703.23958542899</v>
      </c>
      <c r="M547" s="342">
        <v>18348.749980786801</v>
      </c>
      <c r="N547" s="354">
        <v>1684</v>
      </c>
      <c r="O547" s="343">
        <f t="shared" si="75"/>
        <v>216.0898458095626</v>
      </c>
      <c r="P547" s="343">
        <f t="shared" si="76"/>
        <v>109.17061210040833</v>
      </c>
      <c r="Q547" s="343">
        <f t="shared" si="77"/>
        <v>154.9559451144124</v>
      </c>
      <c r="R547" s="344">
        <f t="shared" si="78"/>
        <v>0.71709035903044349</v>
      </c>
      <c r="S547" s="344">
        <f t="shared" si="79"/>
        <v>1.8451918336125757</v>
      </c>
      <c r="T547" s="343">
        <f t="shared" si="80"/>
        <v>410111.2</v>
      </c>
      <c r="U547" s="342">
        <v>310980.66000000003</v>
      </c>
      <c r="V547" s="342">
        <v>11995.84</v>
      </c>
      <c r="W547" s="344">
        <f t="shared" si="87"/>
        <v>3.8574231593694601E-2</v>
      </c>
      <c r="X547" s="342">
        <v>7951.16</v>
      </c>
      <c r="Y547" s="344">
        <f t="shared" si="88"/>
        <v>2.5568020853772706E-2</v>
      </c>
      <c r="Z547" s="342">
        <v>7451.14</v>
      </c>
      <c r="AA547" s="344">
        <f t="shared" si="81"/>
        <v>2.3960139514785258E-2</v>
      </c>
      <c r="AB547" s="342">
        <v>19404.39</v>
      </c>
      <c r="AC547" s="344">
        <f t="shared" si="89"/>
        <v>6.2397417254179077E-2</v>
      </c>
      <c r="AD547" s="342">
        <v>99130.54</v>
      </c>
      <c r="AE547" s="342">
        <v>6755.36</v>
      </c>
      <c r="AF547" s="344">
        <f t="shared" si="82"/>
        <v>6.8146103108083542E-2</v>
      </c>
      <c r="AG547" s="342">
        <v>6648.46</v>
      </c>
      <c r="AH547" s="344">
        <f t="shared" si="83"/>
        <v>6.7067727059693216E-2</v>
      </c>
      <c r="AI547" s="342">
        <v>7496.66</v>
      </c>
      <c r="AJ547" s="344">
        <f t="shared" si="84"/>
        <v>7.5624121486678075E-2</v>
      </c>
      <c r="AK547" s="342">
        <v>33571.72</v>
      </c>
      <c r="AL547" s="784">
        <f t="shared" si="85"/>
        <v>0.33866172826255164</v>
      </c>
      <c r="AM547" s="350">
        <f>IFERROR(T547/(D547+D471+D420)*90,"0.00")</f>
        <v>22.646304171745737</v>
      </c>
      <c r="AN547" s="350">
        <f>IFERROR(U547/(F547+F471+F420)*90,"0.00")</f>
        <v>17.956124497942948</v>
      </c>
      <c r="AO547" s="350">
        <f>IFERROR(AD547/(E547+E471+E420)*90,"0.00")</f>
        <v>125.40375538317097</v>
      </c>
      <c r="AP547" s="639">
        <f t="shared" si="86"/>
        <v>0.23076156777591872</v>
      </c>
    </row>
    <row r="548" spans="1:42" x14ac:dyDescent="0.2">
      <c r="A548" s="638">
        <v>42704</v>
      </c>
      <c r="B548" s="341" t="s">
        <v>134</v>
      </c>
      <c r="C548" s="351" t="s">
        <v>306</v>
      </c>
      <c r="D548" s="342">
        <v>140161.99011135101</v>
      </c>
      <c r="E548" s="342">
        <v>5725</v>
      </c>
      <c r="F548" s="342">
        <v>134436.99011135101</v>
      </c>
      <c r="G548" s="342">
        <v>102423.440223096</v>
      </c>
      <c r="H548" s="342">
        <v>70501.020186303198</v>
      </c>
      <c r="I548" s="342">
        <v>31922.420036792799</v>
      </c>
      <c r="J548" s="342">
        <v>11858.070138216</v>
      </c>
      <c r="K548" s="343">
        <f t="shared" si="74"/>
        <v>90565.370084879993</v>
      </c>
      <c r="L548" s="342">
        <v>63208.399950305</v>
      </c>
      <c r="M548" s="342">
        <v>1157.26999855042</v>
      </c>
      <c r="N548" s="354">
        <v>654</v>
      </c>
      <c r="O548" s="343">
        <f t="shared" si="75"/>
        <v>214.31496958922173</v>
      </c>
      <c r="P548" s="343">
        <f t="shared" si="76"/>
        <v>115.8965140099321</v>
      </c>
      <c r="Q548" s="343">
        <f t="shared" si="77"/>
        <v>156.61076486711926</v>
      </c>
      <c r="R548" s="344">
        <f t="shared" si="78"/>
        <v>0.73075047052147446</v>
      </c>
      <c r="S548" s="344">
        <f t="shared" si="79"/>
        <v>1.6019118475122829</v>
      </c>
      <c r="T548" s="343">
        <f t="shared" si="80"/>
        <v>145005.21</v>
      </c>
      <c r="U548" s="342">
        <v>118843.64</v>
      </c>
      <c r="V548" s="342">
        <v>4175.37</v>
      </c>
      <c r="W548" s="344">
        <f t="shared" si="87"/>
        <v>3.5133306250128317E-2</v>
      </c>
      <c r="X548" s="342">
        <v>2460.84</v>
      </c>
      <c r="Y548" s="344">
        <f t="shared" si="88"/>
        <v>2.0706535074152897E-2</v>
      </c>
      <c r="Z548" s="342">
        <v>3204.39</v>
      </c>
      <c r="AA548" s="344">
        <f t="shared" si="81"/>
        <v>2.6963075180127433E-2</v>
      </c>
      <c r="AB548" s="342">
        <v>5628.59</v>
      </c>
      <c r="AC548" s="344">
        <f t="shared" si="89"/>
        <v>4.7361305998368949E-2</v>
      </c>
      <c r="AD548" s="342">
        <v>26161.57</v>
      </c>
      <c r="AE548" s="342">
        <v>2218.1799999999998</v>
      </c>
      <c r="AF548" s="344">
        <f t="shared" si="82"/>
        <v>8.4787724895715358E-2</v>
      </c>
      <c r="AG548" s="342">
        <v>1818.39</v>
      </c>
      <c r="AH548" s="344">
        <f t="shared" si="83"/>
        <v>6.9506149669152126E-2</v>
      </c>
      <c r="AI548" s="342">
        <v>1579.64</v>
      </c>
      <c r="AJ548" s="344">
        <f t="shared" si="84"/>
        <v>6.0380168315586569E-2</v>
      </c>
      <c r="AK548" s="342">
        <v>9392.31</v>
      </c>
      <c r="AL548" s="784">
        <f t="shared" si="85"/>
        <v>0.35901171068861693</v>
      </c>
      <c r="AM548" s="350">
        <f>IFERROR(T548/(D548)*30,"0.00")</f>
        <v>31.036633373598928</v>
      </c>
      <c r="AN548" s="350">
        <f>IFERROR(U548/(F548)*30,"0.00")</f>
        <v>26.520299190326543</v>
      </c>
      <c r="AO548" s="350">
        <f>IFERROR(AD548/(E548)*30,"0.00")</f>
        <v>137.0911965065502</v>
      </c>
      <c r="AP548" s="639">
        <f t="shared" si="86"/>
        <v>0.15644651498640211</v>
      </c>
    </row>
    <row r="549" spans="1:42" x14ac:dyDescent="0.2">
      <c r="A549" s="638">
        <v>42704</v>
      </c>
      <c r="B549" s="341" t="s">
        <v>134</v>
      </c>
      <c r="C549" s="351" t="s">
        <v>307</v>
      </c>
      <c r="D549" s="342">
        <v>147652.09014451501</v>
      </c>
      <c r="E549" s="342">
        <v>4341</v>
      </c>
      <c r="F549" s="342">
        <v>143311.09014451501</v>
      </c>
      <c r="G549" s="342">
        <v>89645.720506247104</v>
      </c>
      <c r="H549" s="342">
        <v>65657.930497463807</v>
      </c>
      <c r="I549" s="342">
        <v>23987.7900087833</v>
      </c>
      <c r="J549" s="342">
        <v>13160.700201273001</v>
      </c>
      <c r="K549" s="343">
        <f t="shared" si="74"/>
        <v>76485.02030497411</v>
      </c>
      <c r="L549" s="342">
        <v>65354.7397515513</v>
      </c>
      <c r="M549" s="342">
        <v>318.43000411987299</v>
      </c>
      <c r="N549" s="354">
        <v>617</v>
      </c>
      <c r="O549" s="343">
        <f t="shared" si="75"/>
        <v>239.30646700893843</v>
      </c>
      <c r="P549" s="343">
        <f t="shared" si="76"/>
        <v>132.8669698360516</v>
      </c>
      <c r="Q549" s="343">
        <f t="shared" si="77"/>
        <v>145.29290195501963</v>
      </c>
      <c r="R549" s="344">
        <f t="shared" si="78"/>
        <v>0.60714156107445572</v>
      </c>
      <c r="S549" s="344">
        <f t="shared" si="79"/>
        <v>1.3026451463276565</v>
      </c>
      <c r="T549" s="343">
        <f t="shared" si="80"/>
        <v>179288.32000000001</v>
      </c>
      <c r="U549" s="342">
        <v>148690.36000000002</v>
      </c>
      <c r="V549" s="342">
        <v>8833.44</v>
      </c>
      <c r="W549" s="344">
        <f t="shared" si="87"/>
        <v>5.9408289817846967E-2</v>
      </c>
      <c r="X549" s="342">
        <v>5224.29</v>
      </c>
      <c r="Y549" s="344">
        <f t="shared" si="88"/>
        <v>3.5135364525312865E-2</v>
      </c>
      <c r="Z549" s="342">
        <v>4034.35</v>
      </c>
      <c r="AA549" s="344">
        <f t="shared" si="81"/>
        <v>2.7132559232488238E-2</v>
      </c>
      <c r="AB549" s="342">
        <v>6578.33</v>
      </c>
      <c r="AC549" s="344">
        <f t="shared" si="89"/>
        <v>4.4241805588472578E-2</v>
      </c>
      <c r="AD549" s="342">
        <v>30597.96</v>
      </c>
      <c r="AE549" s="342">
        <v>2678.8</v>
      </c>
      <c r="AF549" s="344">
        <f t="shared" si="82"/>
        <v>8.7548320214811709E-2</v>
      </c>
      <c r="AG549" s="342">
        <v>2760.87</v>
      </c>
      <c r="AH549" s="344">
        <f t="shared" si="83"/>
        <v>9.0230525172266388E-2</v>
      </c>
      <c r="AI549" s="342">
        <v>2181</v>
      </c>
      <c r="AJ549" s="344">
        <f t="shared" si="84"/>
        <v>7.1279261754705212E-2</v>
      </c>
      <c r="AK549" s="342">
        <v>11868.44</v>
      </c>
      <c r="AL549" s="784">
        <f t="shared" si="85"/>
        <v>0.38788337523155142</v>
      </c>
      <c r="AM549" s="350">
        <f>IFERROR(T549/(D549)*30,"0.00")</f>
        <v>36.427859536127315</v>
      </c>
      <c r="AN549" s="350">
        <f>IFERROR(U549/(F549)*30,"0.00")</f>
        <v>31.126068439656812</v>
      </c>
      <c r="AO549" s="350">
        <f>IFERROR(AD549/(E549)*30,"0.00")</f>
        <v>211.45791292328957</v>
      </c>
      <c r="AP549" s="639">
        <f t="shared" si="86"/>
        <v>0.16053761306990796</v>
      </c>
    </row>
    <row r="550" spans="1:42" x14ac:dyDescent="0.2">
      <c r="A550" s="638">
        <v>42704</v>
      </c>
      <c r="B550" s="341" t="s">
        <v>137</v>
      </c>
      <c r="C550" s="351" t="s">
        <v>200</v>
      </c>
      <c r="D550" s="342">
        <v>0</v>
      </c>
      <c r="E550" s="342">
        <v>0</v>
      </c>
      <c r="F550" s="342">
        <v>0</v>
      </c>
      <c r="G550" s="342">
        <v>0</v>
      </c>
      <c r="H550" s="342">
        <v>0</v>
      </c>
      <c r="I550" s="342">
        <v>0</v>
      </c>
      <c r="J550" s="342">
        <v>0</v>
      </c>
      <c r="K550" s="343">
        <f t="shared" si="74"/>
        <v>0</v>
      </c>
      <c r="L550" s="342">
        <v>0</v>
      </c>
      <c r="M550" s="342">
        <v>0</v>
      </c>
      <c r="N550" s="354">
        <v>0</v>
      </c>
      <c r="O550" s="343" t="str">
        <f t="shared" si="75"/>
        <v>$0.00</v>
      </c>
      <c r="P550" s="343" t="str">
        <f t="shared" si="76"/>
        <v>$0.00</v>
      </c>
      <c r="Q550" s="343" t="str">
        <f t="shared" si="77"/>
        <v>$0.00</v>
      </c>
      <c r="R550" s="344" t="str">
        <f t="shared" si="78"/>
        <v>0.00%</v>
      </c>
      <c r="S550" s="344" t="str">
        <f t="shared" si="79"/>
        <v>0.00%</v>
      </c>
      <c r="T550" s="343">
        <f t="shared" si="80"/>
        <v>0</v>
      </c>
      <c r="U550" s="342">
        <v>0</v>
      </c>
      <c r="V550" s="342">
        <v>0</v>
      </c>
      <c r="W550" s="344" t="str">
        <f t="shared" si="87"/>
        <v>0.00%</v>
      </c>
      <c r="X550" s="342">
        <v>0</v>
      </c>
      <c r="Y550" s="344" t="str">
        <f t="shared" si="88"/>
        <v>0.00%</v>
      </c>
      <c r="Z550" s="342">
        <v>0</v>
      </c>
      <c r="AA550" s="344">
        <f t="shared" si="81"/>
        <v>0</v>
      </c>
      <c r="AB550" s="342">
        <v>0</v>
      </c>
      <c r="AC550" s="344" t="str">
        <f t="shared" si="89"/>
        <v>0.00%</v>
      </c>
      <c r="AD550" s="342">
        <v>0</v>
      </c>
      <c r="AE550" s="342">
        <v>0</v>
      </c>
      <c r="AF550" s="344" t="str">
        <f t="shared" si="82"/>
        <v>0.00%</v>
      </c>
      <c r="AG550" s="342">
        <v>0</v>
      </c>
      <c r="AH550" s="344" t="str">
        <f t="shared" si="83"/>
        <v>0.00%</v>
      </c>
      <c r="AI550" s="342">
        <v>0</v>
      </c>
      <c r="AJ550" s="344">
        <f t="shared" si="84"/>
        <v>0</v>
      </c>
      <c r="AK550" s="342">
        <v>0</v>
      </c>
      <c r="AL550" s="784" t="str">
        <f t="shared" si="85"/>
        <v>0.00%</v>
      </c>
      <c r="AM550" s="350" t="str">
        <f>IFERROR(T550/(D550+D495+D444)*90,"0.00")</f>
        <v>0.00</v>
      </c>
      <c r="AN550" s="350" t="str">
        <f>IFERROR(U550/(F550+F495+F444)*90,"0.00")</f>
        <v>0.00</v>
      </c>
      <c r="AO550" s="350" t="str">
        <f>IFERROR(AD550/(E550+E495+E444)*90,"0.00")</f>
        <v>0.00</v>
      </c>
      <c r="AP550" s="639" t="str">
        <f t="shared" si="86"/>
        <v>0.00%</v>
      </c>
    </row>
    <row r="551" spans="1:42" x14ac:dyDescent="0.2">
      <c r="A551" s="638">
        <v>42735</v>
      </c>
      <c r="B551" s="341" t="s">
        <v>133</v>
      </c>
      <c r="C551" s="351" t="s">
        <v>162</v>
      </c>
      <c r="D551" s="342">
        <v>157677.25000238401</v>
      </c>
      <c r="E551" s="342">
        <v>11003</v>
      </c>
      <c r="F551" s="342">
        <v>146674.25000238401</v>
      </c>
      <c r="G551" s="342">
        <v>112279.10000311599</v>
      </c>
      <c r="H551" s="342">
        <v>62904.779963715002</v>
      </c>
      <c r="I551" s="342">
        <v>49374.320039400802</v>
      </c>
      <c r="J551" s="342">
        <v>8250.9500031322204</v>
      </c>
      <c r="K551" s="343">
        <f t="shared" si="74"/>
        <v>104028.14999998358</v>
      </c>
      <c r="L551" s="342">
        <v>66448.710080282806</v>
      </c>
      <c r="M551" s="342">
        <v>6335.5500004664109</v>
      </c>
      <c r="N551" s="354">
        <v>794</v>
      </c>
      <c r="O551" s="343">
        <f t="shared" si="75"/>
        <v>198.58595718184384</v>
      </c>
      <c r="P551" s="343">
        <f t="shared" si="76"/>
        <v>106.91812332699597</v>
      </c>
      <c r="Q551" s="343">
        <f t="shared" si="77"/>
        <v>141.40944584775289</v>
      </c>
      <c r="R551" s="344">
        <f t="shared" si="78"/>
        <v>0.7120818000150192</v>
      </c>
      <c r="S551" s="344">
        <f t="shared" si="79"/>
        <v>1.4649805788377757</v>
      </c>
      <c r="T551" s="343">
        <f t="shared" si="80"/>
        <v>144743.26</v>
      </c>
      <c r="U551" s="342">
        <v>104068.23</v>
      </c>
      <c r="V551" s="342">
        <v>900.42</v>
      </c>
      <c r="W551" s="344">
        <f t="shared" si="87"/>
        <v>8.6522082675952114E-3</v>
      </c>
      <c r="X551" s="342">
        <v>-5.62</v>
      </c>
      <c r="Y551" s="344">
        <v>0</v>
      </c>
      <c r="Z551" s="342">
        <v>657.68</v>
      </c>
      <c r="AA551" s="344">
        <f t="shared" si="81"/>
        <v>6.3197000660047738E-3</v>
      </c>
      <c r="AB551" s="342">
        <v>3802.94</v>
      </c>
      <c r="AC551" s="344">
        <f t="shared" si="89"/>
        <v>3.6542756612656907E-2</v>
      </c>
      <c r="AD551" s="342">
        <v>40675.03</v>
      </c>
      <c r="AE551" s="342">
        <v>4042.32</v>
      </c>
      <c r="AF551" s="344">
        <f t="shared" si="82"/>
        <v>9.9380873228612249E-2</v>
      </c>
      <c r="AG551" s="342">
        <v>1117.01</v>
      </c>
      <c r="AH551" s="344">
        <f t="shared" si="83"/>
        <v>2.7461811337324154E-2</v>
      </c>
      <c r="AI551" s="342">
        <v>2096.19</v>
      </c>
      <c r="AJ551" s="344">
        <f t="shared" si="84"/>
        <v>5.1535057257486964E-2</v>
      </c>
      <c r="AK551" s="342">
        <v>19801.419999999998</v>
      </c>
      <c r="AL551" s="784">
        <f t="shared" si="85"/>
        <v>0.48682004659861344</v>
      </c>
      <c r="AM551" s="350">
        <f>IFERROR(T551/(D551+D507+D455)*90,"0.00")</f>
        <v>27.004981646547048</v>
      </c>
      <c r="AN551" s="350">
        <f>IFERROR(U551/(F551+F507+F455)*90,"0.00")</f>
        <v>20.564246021701273</v>
      </c>
      <c r="AO551" s="350">
        <f>IFERROR(AD551/(E551+E507+E455)*90,"0.00")</f>
        <v>135.93081207530355</v>
      </c>
      <c r="AP551" s="639">
        <f t="shared" si="86"/>
        <v>9.7192359589981681E-2</v>
      </c>
    </row>
    <row r="552" spans="1:42" x14ac:dyDescent="0.2">
      <c r="A552" s="638">
        <v>42735</v>
      </c>
      <c r="B552" s="341" t="s">
        <v>133</v>
      </c>
      <c r="C552" s="351" t="s">
        <v>164</v>
      </c>
      <c r="D552" s="342">
        <v>188528.510009363</v>
      </c>
      <c r="E552" s="342">
        <v>13463</v>
      </c>
      <c r="F552" s="342">
        <v>175065.510009363</v>
      </c>
      <c r="G552" s="342">
        <v>134840.61995207099</v>
      </c>
      <c r="H552" s="342">
        <v>71675.009881842896</v>
      </c>
      <c r="I552" s="342">
        <v>63165.610070228598</v>
      </c>
      <c r="J552" s="342">
        <v>8850.8499716520291</v>
      </c>
      <c r="K552" s="343">
        <f t="shared" si="74"/>
        <v>125989.76998041946</v>
      </c>
      <c r="L552" s="342">
        <v>83640.160134902195</v>
      </c>
      <c r="M552" s="342">
        <v>6370.4200029373196</v>
      </c>
      <c r="N552" s="354">
        <v>849</v>
      </c>
      <c r="O552" s="343">
        <f t="shared" si="75"/>
        <v>222.05949353281861</v>
      </c>
      <c r="P552" s="343">
        <f t="shared" si="76"/>
        <v>116.03996451298408</v>
      </c>
      <c r="Q552" s="343">
        <f t="shared" si="77"/>
        <v>158.82287391292283</v>
      </c>
      <c r="R552" s="344">
        <f t="shared" si="78"/>
        <v>0.71522667815798691</v>
      </c>
      <c r="S552" s="344">
        <f t="shared" si="79"/>
        <v>1.5037918052271131</v>
      </c>
      <c r="T552" s="343">
        <f t="shared" si="80"/>
        <v>172117.19</v>
      </c>
      <c r="U552" s="342">
        <v>135816.95999999999</v>
      </c>
      <c r="V552" s="342">
        <v>7169.62</v>
      </c>
      <c r="W552" s="344">
        <f t="shared" si="87"/>
        <v>5.2788841688107289E-2</v>
      </c>
      <c r="X552" s="342">
        <v>2046.89</v>
      </c>
      <c r="Y552" s="344">
        <f t="shared" si="88"/>
        <v>1.5070945484275308E-2</v>
      </c>
      <c r="Z552" s="342">
        <v>1759.35</v>
      </c>
      <c r="AA552" s="344">
        <f t="shared" si="81"/>
        <v>1.2953831391896859E-2</v>
      </c>
      <c r="AB552" s="342">
        <v>8332.06</v>
      </c>
      <c r="AC552" s="344">
        <f t="shared" si="89"/>
        <v>6.1347713864306784E-2</v>
      </c>
      <c r="AD552" s="342">
        <v>36300.229999999996</v>
      </c>
      <c r="AE552" s="342">
        <v>4473.5600000000004</v>
      </c>
      <c r="AF552" s="344">
        <f t="shared" si="82"/>
        <v>0.12323778664763284</v>
      </c>
      <c r="AG552" s="342">
        <v>2705.16</v>
      </c>
      <c r="AH552" s="344">
        <f t="shared" si="83"/>
        <v>7.4521841872627254E-2</v>
      </c>
      <c r="AI552" s="342">
        <v>1775.33</v>
      </c>
      <c r="AJ552" s="344">
        <f t="shared" si="84"/>
        <v>4.890685265630549E-2</v>
      </c>
      <c r="AK552" s="342">
        <v>16873.419999999998</v>
      </c>
      <c r="AL552" s="784">
        <f t="shared" si="85"/>
        <v>0.46482956168597278</v>
      </c>
      <c r="AM552" s="350">
        <f>IFERROR(T552/(D552+D457+D508)*90,"0.00")</f>
        <v>26.356203538324742</v>
      </c>
      <c r="AN552" s="350">
        <f>IFERROR(U552/(F552+F508+F457)*90,"0.00")</f>
        <v>22.377157659566382</v>
      </c>
      <c r="AO552" s="350">
        <f>IFERROR(AD552/(E552+E508+E457)*90,"0.00")</f>
        <v>78.746160335518695</v>
      </c>
      <c r="AP552" s="639">
        <f t="shared" si="86"/>
        <v>8.9839991392372517E-2</v>
      </c>
    </row>
    <row r="553" spans="1:42" x14ac:dyDescent="0.2">
      <c r="A553" s="638">
        <v>42735</v>
      </c>
      <c r="B553" s="341" t="s">
        <v>133</v>
      </c>
      <c r="C553" s="351" t="s">
        <v>169</v>
      </c>
      <c r="D553" s="342">
        <v>226613.33000528099</v>
      </c>
      <c r="E553" s="342">
        <v>12553</v>
      </c>
      <c r="F553" s="342">
        <v>214060.33000528099</v>
      </c>
      <c r="G553" s="342">
        <v>144570.569868989</v>
      </c>
      <c r="H553" s="342">
        <v>85427.609828323097</v>
      </c>
      <c r="I553" s="342">
        <v>59142.960040666199</v>
      </c>
      <c r="J553" s="342">
        <v>7445.4900377988797</v>
      </c>
      <c r="K553" s="343">
        <f t="shared" si="74"/>
        <v>137125.07983119041</v>
      </c>
      <c r="L553" s="342">
        <v>96263.050117898703</v>
      </c>
      <c r="M553" s="342">
        <v>7058.1199972033501</v>
      </c>
      <c r="N553" s="354">
        <v>989</v>
      </c>
      <c r="O553" s="343">
        <f t="shared" si="75"/>
        <v>229.13380182535997</v>
      </c>
      <c r="P553" s="343">
        <f t="shared" si="76"/>
        <v>124.66345792738012</v>
      </c>
      <c r="Q553" s="343">
        <f t="shared" si="77"/>
        <v>146.17853374013072</v>
      </c>
      <c r="R553" s="344">
        <f t="shared" si="78"/>
        <v>0.637961455602017</v>
      </c>
      <c r="S553" s="344">
        <f t="shared" si="79"/>
        <v>1.2479475677048917</v>
      </c>
      <c r="T553" s="343">
        <f t="shared" si="80"/>
        <v>256810.09000000003</v>
      </c>
      <c r="U553" s="342">
        <v>205976.30000000002</v>
      </c>
      <c r="V553" s="342">
        <v>4075.4</v>
      </c>
      <c r="W553" s="344">
        <f t="shared" si="87"/>
        <v>1.978577146982444E-2</v>
      </c>
      <c r="X553" s="342">
        <v>2527.5700000000002</v>
      </c>
      <c r="Y553" s="344">
        <f t="shared" si="88"/>
        <v>1.227116906168331E-2</v>
      </c>
      <c r="Z553" s="342">
        <v>3724.21</v>
      </c>
      <c r="AA553" s="344">
        <f t="shared" si="81"/>
        <v>1.8080769486586563E-2</v>
      </c>
      <c r="AB553" s="342">
        <v>13017.26</v>
      </c>
      <c r="AC553" s="344">
        <f t="shared" si="89"/>
        <v>6.3197853345263511E-2</v>
      </c>
      <c r="AD553" s="342">
        <v>50833.790000000008</v>
      </c>
      <c r="AE553" s="342">
        <v>3766.07</v>
      </c>
      <c r="AF553" s="344">
        <f t="shared" si="82"/>
        <v>7.4085957391727034E-2</v>
      </c>
      <c r="AG553" s="342">
        <v>3844.54</v>
      </c>
      <c r="AH553" s="344">
        <f t="shared" si="83"/>
        <v>7.5629615655256069E-2</v>
      </c>
      <c r="AI553" s="342">
        <v>1985.88</v>
      </c>
      <c r="AJ553" s="344">
        <f t="shared" si="84"/>
        <v>3.9066140848439589E-2</v>
      </c>
      <c r="AK553" s="342">
        <v>28860.99</v>
      </c>
      <c r="AL553" s="784">
        <f t="shared" si="85"/>
        <v>0.56775207986656118</v>
      </c>
      <c r="AM553" s="350">
        <f>IFERROR(T553/(D553+D509+D462)*90,"0.00")</f>
        <v>34.576362107307951</v>
      </c>
      <c r="AN553" s="350">
        <f>IFERROR(U553/(F553+F509+F462)*90,"0.00")</f>
        <v>29.203112268069056</v>
      </c>
      <c r="AO553" s="350">
        <f>IFERROR(AD553/(E553+E509+E462)*90,"0.00")</f>
        <v>135.88289227479285</v>
      </c>
      <c r="AP553" s="639">
        <f t="shared" si="86"/>
        <v>6.0388998330720006E-2</v>
      </c>
    </row>
    <row r="554" spans="1:42" x14ac:dyDescent="0.2">
      <c r="A554" s="638">
        <v>42735</v>
      </c>
      <c r="B554" s="341" t="s">
        <v>133</v>
      </c>
      <c r="C554" s="351" t="s">
        <v>166</v>
      </c>
      <c r="D554" s="342">
        <v>299462.56000817899</v>
      </c>
      <c r="E554" s="342">
        <v>18387</v>
      </c>
      <c r="F554" s="342">
        <v>281075.56000817899</v>
      </c>
      <c r="G554" s="342">
        <v>196207.59011168801</v>
      </c>
      <c r="H554" s="342">
        <v>109184.220034793</v>
      </c>
      <c r="I554" s="342">
        <v>87023.370076894804</v>
      </c>
      <c r="J554" s="342">
        <v>12706.729983219901</v>
      </c>
      <c r="K554" s="343">
        <f t="shared" si="74"/>
        <v>183500.8601284679</v>
      </c>
      <c r="L554" s="342">
        <v>122916.300026417</v>
      </c>
      <c r="M554" s="342">
        <v>10632.2300165296</v>
      </c>
      <c r="N554" s="354">
        <v>1303</v>
      </c>
      <c r="O554" s="343">
        <f t="shared" si="75"/>
        <v>229.82544897020645</v>
      </c>
      <c r="P554" s="343">
        <f t="shared" si="76"/>
        <v>127.33233305083068</v>
      </c>
      <c r="Q554" s="343">
        <f t="shared" si="77"/>
        <v>150.58141988617638</v>
      </c>
      <c r="R554" s="344">
        <f t="shared" si="78"/>
        <v>0.65519906764414537</v>
      </c>
      <c r="S554" s="344">
        <f t="shared" si="79"/>
        <v>1.280667371167848</v>
      </c>
      <c r="T554" s="343">
        <f t="shared" si="80"/>
        <v>305214.87</v>
      </c>
      <c r="U554" s="342">
        <v>232653.08</v>
      </c>
      <c r="V554" s="342">
        <v>7246.65</v>
      </c>
      <c r="W554" s="344">
        <f t="shared" si="87"/>
        <v>3.1147879065258881E-2</v>
      </c>
      <c r="X554" s="342">
        <v>5125.21</v>
      </c>
      <c r="Y554" s="344">
        <f t="shared" si="88"/>
        <v>2.2029409625696768E-2</v>
      </c>
      <c r="Z554" s="342">
        <v>2704.83</v>
      </c>
      <c r="AA554" s="344">
        <f t="shared" si="81"/>
        <v>1.1626022745970094E-2</v>
      </c>
      <c r="AB554" s="342">
        <v>7021.19</v>
      </c>
      <c r="AC554" s="344">
        <f t="shared" si="89"/>
        <v>3.017879668732518E-2</v>
      </c>
      <c r="AD554" s="342">
        <v>72561.790000000008</v>
      </c>
      <c r="AE554" s="342">
        <v>7892.43</v>
      </c>
      <c r="AF554" s="344">
        <f t="shared" si="82"/>
        <v>0.10876840276404426</v>
      </c>
      <c r="AG554" s="342">
        <v>4683.8999999999996</v>
      </c>
      <c r="AH554" s="344">
        <f t="shared" si="83"/>
        <v>6.4550502406293994E-2</v>
      </c>
      <c r="AI554" s="342">
        <v>4197.22</v>
      </c>
      <c r="AJ554" s="344">
        <f t="shared" si="84"/>
        <v>5.7843391129132837E-2</v>
      </c>
      <c r="AK554" s="342">
        <v>37694.75</v>
      </c>
      <c r="AL554" s="784">
        <f t="shared" si="85"/>
        <v>0.51948484181550647</v>
      </c>
      <c r="AM554" s="350">
        <f>IFERROR(T554/(D554+D510+D459)*90,"0.00")</f>
        <v>28.75106118178029</v>
      </c>
      <c r="AN554" s="350">
        <f>IFERROR(U554/(F554+F510+F459)*90,"0.00")</f>
        <v>23.17915930569044</v>
      </c>
      <c r="AO554" s="350">
        <f>IFERROR(AD554/(E554+E510+E459)*90,"0.00")</f>
        <v>125.40683821411427</v>
      </c>
      <c r="AP554" s="639">
        <f t="shared" si="86"/>
        <v>7.6586229542387835E-2</v>
      </c>
    </row>
    <row r="555" spans="1:42" x14ac:dyDescent="0.2">
      <c r="A555" s="638">
        <v>42735</v>
      </c>
      <c r="B555" s="341" t="s">
        <v>133</v>
      </c>
      <c r="C555" s="351" t="s">
        <v>171</v>
      </c>
      <c r="D555" s="342">
        <v>202527.98000179001</v>
      </c>
      <c r="E555" s="342">
        <v>8920</v>
      </c>
      <c r="F555" s="342">
        <v>193607.98000179001</v>
      </c>
      <c r="G555" s="342">
        <v>123897.499971937</v>
      </c>
      <c r="H555" s="342">
        <v>78108.329944204495</v>
      </c>
      <c r="I555" s="342">
        <v>45789.170027732798</v>
      </c>
      <c r="J555" s="342">
        <v>11061.140012145001</v>
      </c>
      <c r="K555" s="343">
        <f t="shared" si="74"/>
        <v>112836.3599597923</v>
      </c>
      <c r="L555" s="342">
        <v>86230.120077133193</v>
      </c>
      <c r="M555" s="342">
        <v>10005.2799764872</v>
      </c>
      <c r="N555" s="354">
        <v>1010</v>
      </c>
      <c r="O555" s="343">
        <f t="shared" si="75"/>
        <v>200.52275247701982</v>
      </c>
      <c r="P555" s="343">
        <f t="shared" si="76"/>
        <v>105.24017816650456</v>
      </c>
      <c r="Q555" s="343">
        <f t="shared" si="77"/>
        <v>122.67079205142306</v>
      </c>
      <c r="R555" s="344">
        <f t="shared" si="78"/>
        <v>0.61175497810644364</v>
      </c>
      <c r="S555" s="344">
        <f t="shared" si="79"/>
        <v>1.3010146654841113</v>
      </c>
      <c r="T555" s="343">
        <f t="shared" si="80"/>
        <v>260667.41000000003</v>
      </c>
      <c r="U555" s="342">
        <v>192166.18000000002</v>
      </c>
      <c r="V555" s="342">
        <v>7748.64</v>
      </c>
      <c r="W555" s="344">
        <f t="shared" si="87"/>
        <v>4.0322599949689376E-2</v>
      </c>
      <c r="X555" s="342">
        <v>3442.7</v>
      </c>
      <c r="Y555" s="344">
        <f t="shared" si="88"/>
        <v>1.7915223167781134E-2</v>
      </c>
      <c r="Z555" s="342">
        <v>2310.89</v>
      </c>
      <c r="AA555" s="344">
        <f t="shared" si="81"/>
        <v>1.2025477115692259E-2</v>
      </c>
      <c r="AB555" s="342">
        <v>11188.41</v>
      </c>
      <c r="AC555" s="344">
        <f t="shared" si="89"/>
        <v>5.8222575897590299E-2</v>
      </c>
      <c r="AD555" s="342">
        <v>68501.23</v>
      </c>
      <c r="AE555" s="342">
        <v>6840.02</v>
      </c>
      <c r="AF555" s="344">
        <f t="shared" si="82"/>
        <v>9.9852513597201112E-2</v>
      </c>
      <c r="AG555" s="342">
        <v>6040.21</v>
      </c>
      <c r="AH555" s="344">
        <f t="shared" si="83"/>
        <v>8.8176664856966805E-2</v>
      </c>
      <c r="AI555" s="342">
        <v>2651.33</v>
      </c>
      <c r="AJ555" s="344">
        <f t="shared" si="84"/>
        <v>3.8704852453014346E-2</v>
      </c>
      <c r="AK555" s="342">
        <v>39783.919999999998</v>
      </c>
      <c r="AL555" s="784">
        <f t="shared" si="85"/>
        <v>0.58077672473910325</v>
      </c>
      <c r="AM555" s="350">
        <f>IFERROR(T555/(D555+D511+D464)*90,"0.00")</f>
        <v>37.459656376133189</v>
      </c>
      <c r="AN555" s="350">
        <f>IFERROR(U555/(F555+F511+F464)*90,"0.00")</f>
        <v>28.994737093725714</v>
      </c>
      <c r="AO555" s="350">
        <f>IFERROR(AD555/(E555+E511+E464)*90,"0.00")</f>
        <v>206.95583007435505</v>
      </c>
      <c r="AP555" s="639">
        <f t="shared" si="86"/>
        <v>0.10406314361302203</v>
      </c>
    </row>
    <row r="556" spans="1:42" x14ac:dyDescent="0.2">
      <c r="A556" s="638">
        <v>42735</v>
      </c>
      <c r="B556" s="341" t="s">
        <v>133</v>
      </c>
      <c r="C556" s="351" t="s">
        <v>174</v>
      </c>
      <c r="D556" s="342">
        <v>160723.53000551101</v>
      </c>
      <c r="E556" s="342">
        <v>8990</v>
      </c>
      <c r="F556" s="342">
        <v>151733.53000551101</v>
      </c>
      <c r="G556" s="342">
        <v>111889.729939729</v>
      </c>
      <c r="H556" s="342">
        <v>68267.119920522004</v>
      </c>
      <c r="I556" s="342">
        <v>43622.610019207001</v>
      </c>
      <c r="J556" s="342">
        <v>9091.9799809306896</v>
      </c>
      <c r="K556" s="343">
        <f t="shared" si="74"/>
        <v>102797.74995879832</v>
      </c>
      <c r="L556" s="342">
        <v>75381.029976010293</v>
      </c>
      <c r="M556" s="342">
        <v>4547.5699930787096</v>
      </c>
      <c r="N556" s="354">
        <v>724</v>
      </c>
      <c r="O556" s="343">
        <f t="shared" si="75"/>
        <v>221.99382597446274</v>
      </c>
      <c r="P556" s="343">
        <f t="shared" si="76"/>
        <v>111.59520723262709</v>
      </c>
      <c r="Q556" s="343">
        <f t="shared" si="77"/>
        <v>154.5438258836036</v>
      </c>
      <c r="R556" s="344">
        <f t="shared" si="78"/>
        <v>0.6961627207658545</v>
      </c>
      <c r="S556" s="344">
        <f t="shared" si="79"/>
        <v>1.56046201520491</v>
      </c>
      <c r="T556" s="343">
        <f t="shared" si="80"/>
        <v>170032.36</v>
      </c>
      <c r="U556" s="342">
        <v>114786.61</v>
      </c>
      <c r="V556" s="342">
        <v>4640.99</v>
      </c>
      <c r="W556" s="344">
        <f t="shared" si="87"/>
        <v>4.0431457989742875E-2</v>
      </c>
      <c r="X556" s="342">
        <v>4366.92</v>
      </c>
      <c r="Y556" s="344">
        <f t="shared" si="88"/>
        <v>3.8043810162178324E-2</v>
      </c>
      <c r="Z556" s="342">
        <v>299.66000000000003</v>
      </c>
      <c r="AA556" s="344">
        <f t="shared" si="81"/>
        <v>2.6105832378881129E-3</v>
      </c>
      <c r="AB556" s="342">
        <v>8739.4500000000007</v>
      </c>
      <c r="AC556" s="344">
        <f t="shared" si="89"/>
        <v>7.6136493620640955E-2</v>
      </c>
      <c r="AD556" s="342">
        <v>55245.75</v>
      </c>
      <c r="AE556" s="342">
        <v>5915.47</v>
      </c>
      <c r="AF556" s="344">
        <f t="shared" si="82"/>
        <v>0.10707556689881123</v>
      </c>
      <c r="AG556" s="342">
        <v>3773.88</v>
      </c>
      <c r="AH556" s="344">
        <f t="shared" si="83"/>
        <v>6.8310775036993801E-2</v>
      </c>
      <c r="AI556" s="342">
        <v>2570.6999999999998</v>
      </c>
      <c r="AJ556" s="344">
        <f t="shared" si="84"/>
        <v>4.6532086178574822E-2</v>
      </c>
      <c r="AK556" s="342">
        <v>26034.59</v>
      </c>
      <c r="AL556" s="784">
        <f t="shared" si="85"/>
        <v>0.47125054868474048</v>
      </c>
      <c r="AM556" s="350">
        <f>IFERROR(T556/(D556+D512+D467)*90,"0.00")</f>
        <v>27.579475950238031</v>
      </c>
      <c r="AN556" s="350">
        <f>IFERROR(U556/(F556+F512+F467)*90,"0.00")</f>
        <v>19.740009304011604</v>
      </c>
      <c r="AO556" s="350">
        <f>IFERROR(AD556/(E556+E512+E467)*90,"0.00")</f>
        <v>157.72983218602292</v>
      </c>
      <c r="AP556" s="639">
        <f t="shared" si="86"/>
        <v>0.11253156574096994</v>
      </c>
    </row>
    <row r="557" spans="1:42" x14ac:dyDescent="0.2">
      <c r="A557" s="638">
        <v>42735</v>
      </c>
      <c r="B557" s="341" t="s">
        <v>133</v>
      </c>
      <c r="C557" s="351" t="s">
        <v>173</v>
      </c>
      <c r="D557" s="342">
        <v>226642.160005663</v>
      </c>
      <c r="E557" s="342">
        <v>14102</v>
      </c>
      <c r="F557" s="342">
        <v>212540.160005663</v>
      </c>
      <c r="G557" s="342">
        <v>127803.389983058</v>
      </c>
      <c r="H557" s="342">
        <v>70485.009920954704</v>
      </c>
      <c r="I557" s="342">
        <v>57318.380062103301</v>
      </c>
      <c r="J557" s="342">
        <v>10770.680020809201</v>
      </c>
      <c r="K557" s="343">
        <f t="shared" si="74"/>
        <v>117032.7099622488</v>
      </c>
      <c r="L557" s="342">
        <v>84983.599996566802</v>
      </c>
      <c r="M557" s="342">
        <v>12158.389977840699</v>
      </c>
      <c r="N557" s="354">
        <v>1085</v>
      </c>
      <c r="O557" s="343">
        <f t="shared" si="75"/>
        <v>208.8867834153576</v>
      </c>
      <c r="P557" s="343">
        <f t="shared" si="76"/>
        <v>119.35499542051197</v>
      </c>
      <c r="Q557" s="343">
        <f t="shared" si="77"/>
        <v>117.79114284152811</v>
      </c>
      <c r="R557" s="344">
        <f t="shared" si="78"/>
        <v>0.56389945268728747</v>
      </c>
      <c r="S557" s="344">
        <f t="shared" si="79"/>
        <v>1.0764249890386404</v>
      </c>
      <c r="T557" s="343">
        <f t="shared" si="80"/>
        <v>271325.13</v>
      </c>
      <c r="U557" s="342">
        <v>198911.96000000002</v>
      </c>
      <c r="V557" s="342">
        <v>7672.03</v>
      </c>
      <c r="W557" s="344">
        <f t="shared" si="87"/>
        <v>3.8569978396472485E-2</v>
      </c>
      <c r="X557" s="342">
        <v>5689.45</v>
      </c>
      <c r="Y557" s="344">
        <f t="shared" si="88"/>
        <v>2.8602855253148173E-2</v>
      </c>
      <c r="Z557" s="342">
        <v>2351.09</v>
      </c>
      <c r="AA557" s="344">
        <f t="shared" si="81"/>
        <v>1.1819751813817529E-2</v>
      </c>
      <c r="AB557" s="342">
        <v>4999.1899999999996</v>
      </c>
      <c r="AC557" s="344">
        <f t="shared" si="89"/>
        <v>2.5132676788263506E-2</v>
      </c>
      <c r="AD557" s="342">
        <v>72413.17</v>
      </c>
      <c r="AE557" s="342">
        <v>6080.23</v>
      </c>
      <c r="AF557" s="344">
        <f t="shared" si="82"/>
        <v>8.3965803458127847E-2</v>
      </c>
      <c r="AG557" s="342">
        <v>3927.05</v>
      </c>
      <c r="AH557" s="344">
        <f t="shared" si="83"/>
        <v>5.423115712238534E-2</v>
      </c>
      <c r="AI557" s="342">
        <v>2944</v>
      </c>
      <c r="AJ557" s="344">
        <f t="shared" si="84"/>
        <v>4.0655587926892306E-2</v>
      </c>
      <c r="AK557" s="342">
        <v>45382.7</v>
      </c>
      <c r="AL557" s="784">
        <f t="shared" si="85"/>
        <v>0.62671886895712481</v>
      </c>
      <c r="AM557" s="350">
        <f>IFERROR(T557/(D557+D513+D466)*90,"0.00")</f>
        <v>35.734918873170692</v>
      </c>
      <c r="AN557" s="350">
        <f>IFERROR(U557/(F557+F513+F466)*90,"0.00")</f>
        <v>28.465898167224445</v>
      </c>
      <c r="AO557" s="350">
        <f>IFERROR(AD557/(E557+E513+E466)*90,"0.00")</f>
        <v>119.69338830832521</v>
      </c>
      <c r="AP557" s="639">
        <f t="shared" si="86"/>
        <v>8.3171165089664711E-2</v>
      </c>
    </row>
    <row r="558" spans="1:42" x14ac:dyDescent="0.2">
      <c r="A558" s="638">
        <v>42735</v>
      </c>
      <c r="B558" s="341" t="s">
        <v>133</v>
      </c>
      <c r="C558" s="351" t="s">
        <v>177</v>
      </c>
      <c r="D558" s="342">
        <v>89785.840001583099</v>
      </c>
      <c r="E558" s="342">
        <v>5846</v>
      </c>
      <c r="F558" s="342">
        <v>83939.840001583099</v>
      </c>
      <c r="G558" s="342">
        <v>81330.159993261099</v>
      </c>
      <c r="H558" s="342">
        <v>51364.739957898899</v>
      </c>
      <c r="I558" s="342">
        <v>29965.4200353622</v>
      </c>
      <c r="J558" s="342">
        <v>9371.7499998696094</v>
      </c>
      <c r="K558" s="343">
        <f t="shared" ref="K558:K595" si="90">SUM(H558:I558)-J558</f>
        <v>71958.409993391484</v>
      </c>
      <c r="L558" s="342">
        <v>59903.349974721699</v>
      </c>
      <c r="M558" s="342">
        <v>2628.48998939991</v>
      </c>
      <c r="N558" s="354">
        <v>409</v>
      </c>
      <c r="O558" s="343">
        <f t="shared" si="75"/>
        <v>219.52528117746479</v>
      </c>
      <c r="P558" s="343">
        <f t="shared" si="76"/>
        <v>66.635696913108774</v>
      </c>
      <c r="Q558" s="343">
        <f t="shared" si="77"/>
        <v>198.85124692728874</v>
      </c>
      <c r="R558" s="344">
        <f t="shared" si="78"/>
        <v>0.90582390265354862</v>
      </c>
      <c r="S558" s="344">
        <f t="shared" si="79"/>
        <v>4.5480943294210556</v>
      </c>
      <c r="T558" s="343">
        <f t="shared" si="80"/>
        <v>74762.200000000012</v>
      </c>
      <c r="U558" s="342">
        <v>46394.840000000004</v>
      </c>
      <c r="V558" s="342">
        <v>2751.83</v>
      </c>
      <c r="W558" s="344">
        <f t="shared" si="87"/>
        <v>5.9313277079951127E-2</v>
      </c>
      <c r="X558" s="342">
        <v>1638.96</v>
      </c>
      <c r="Y558" s="344">
        <f t="shared" si="88"/>
        <v>3.5326342326000043E-2</v>
      </c>
      <c r="Z558" s="342">
        <v>1453.71</v>
      </c>
      <c r="AA558" s="344">
        <f t="shared" si="81"/>
        <v>3.1333441391327134E-2</v>
      </c>
      <c r="AB558" s="342">
        <v>2459.19</v>
      </c>
      <c r="AC558" s="344">
        <f t="shared" si="89"/>
        <v>5.3005679079828699E-2</v>
      </c>
      <c r="AD558" s="342">
        <v>28367.360000000001</v>
      </c>
      <c r="AE558" s="342">
        <v>3240.39</v>
      </c>
      <c r="AF558" s="344">
        <f t="shared" si="82"/>
        <v>0.11422952294468007</v>
      </c>
      <c r="AG558" s="342">
        <v>1883.75</v>
      </c>
      <c r="AH558" s="344">
        <f t="shared" si="83"/>
        <v>6.64055449643534E-2</v>
      </c>
      <c r="AI558" s="342">
        <v>2050.63</v>
      </c>
      <c r="AJ558" s="344">
        <f t="shared" si="84"/>
        <v>7.2288362399602929E-2</v>
      </c>
      <c r="AK558" s="342">
        <v>11382.96</v>
      </c>
      <c r="AL558" s="784">
        <f t="shared" si="85"/>
        <v>0.40126962819240136</v>
      </c>
      <c r="AM558" s="350">
        <f>IFERROR(T558/(D558+D514+D470)*90,"0.00")</f>
        <v>14.559184141269885</v>
      </c>
      <c r="AN558" s="350">
        <f>IFERROR(U558/(F558+F514+F470)*90,"0.00")</f>
        <v>9.5828932935311073</v>
      </c>
      <c r="AO558" s="350">
        <f>IFERROR(AD558/(E558+E514+E470)*90,"0.00")</f>
        <v>96.608799927252875</v>
      </c>
      <c r="AP558" s="639">
        <f t="shared" si="86"/>
        <v>0.34386695483187207</v>
      </c>
    </row>
    <row r="559" spans="1:42" x14ac:dyDescent="0.2">
      <c r="A559" s="638">
        <v>42735</v>
      </c>
      <c r="B559" s="341" t="s">
        <v>135</v>
      </c>
      <c r="C559" s="351" t="s">
        <v>181</v>
      </c>
      <c r="D559" s="342">
        <v>117094.289998779</v>
      </c>
      <c r="E559" s="342">
        <v>8497</v>
      </c>
      <c r="F559" s="342">
        <v>108597.289998779</v>
      </c>
      <c r="G559" s="342">
        <v>66278.3805455416</v>
      </c>
      <c r="H559" s="342">
        <v>38866.660413667603</v>
      </c>
      <c r="I559" s="342">
        <v>27411.720131874099</v>
      </c>
      <c r="J559" s="342">
        <v>6818.3200421333304</v>
      </c>
      <c r="K559" s="343">
        <f t="shared" si="90"/>
        <v>59460.060503408371</v>
      </c>
      <c r="L559" s="342">
        <v>43535.179543256803</v>
      </c>
      <c r="M559" s="342">
        <v>4095.4299909770498</v>
      </c>
      <c r="N559" s="354">
        <v>752</v>
      </c>
      <c r="O559" s="343">
        <f t="shared" si="75"/>
        <v>155.71049201965292</v>
      </c>
      <c r="P559" s="343">
        <f t="shared" si="76"/>
        <v>92.371915511363227</v>
      </c>
      <c r="Q559" s="343">
        <f t="shared" si="77"/>
        <v>88.136144342475674</v>
      </c>
      <c r="R559" s="344">
        <f t="shared" si="78"/>
        <v>0.56602572632903636</v>
      </c>
      <c r="S559" s="344">
        <f t="shared" si="79"/>
        <v>1.057993442748717</v>
      </c>
      <c r="T559" s="343">
        <f t="shared" si="80"/>
        <v>123766.76999999999</v>
      </c>
      <c r="U559" s="342">
        <v>97862.03</v>
      </c>
      <c r="V559" s="342">
        <v>6843.38</v>
      </c>
      <c r="W559" s="344">
        <f t="shared" si="87"/>
        <v>6.9928858005500194E-2</v>
      </c>
      <c r="X559" s="342">
        <v>1754.83</v>
      </c>
      <c r="Y559" s="344">
        <f t="shared" si="88"/>
        <v>1.7931673806480409E-2</v>
      </c>
      <c r="Z559" s="342">
        <v>1802.73</v>
      </c>
      <c r="AA559" s="344">
        <f t="shared" si="81"/>
        <v>1.8421138412926853E-2</v>
      </c>
      <c r="AB559" s="342">
        <v>2911.98</v>
      </c>
      <c r="AC559" s="344">
        <f t="shared" si="89"/>
        <v>2.9755973792900067E-2</v>
      </c>
      <c r="AD559" s="342">
        <v>25904.739999999998</v>
      </c>
      <c r="AE559" s="342">
        <v>2564.56</v>
      </c>
      <c r="AF559" s="344">
        <f t="shared" si="82"/>
        <v>9.8999642536462443E-2</v>
      </c>
      <c r="AG559" s="342">
        <v>1922.4</v>
      </c>
      <c r="AH559" s="344">
        <f t="shared" si="83"/>
        <v>7.421035686905178E-2</v>
      </c>
      <c r="AI559" s="342">
        <v>1301.45</v>
      </c>
      <c r="AJ559" s="344">
        <f t="shared" si="84"/>
        <v>5.0239840276335532E-2</v>
      </c>
      <c r="AK559" s="342">
        <v>11237.9</v>
      </c>
      <c r="AL559" s="784">
        <f t="shared" si="85"/>
        <v>0.4338163594770687</v>
      </c>
      <c r="AM559" s="350">
        <f>IFERROR(T559/(D559+D515+D473)*90,"0.00")</f>
        <v>33.086514792951363</v>
      </c>
      <c r="AN559" s="350">
        <f>IFERROR(U559/(F559+F515+F473)*90,"0.00")</f>
        <v>27.951163563888752</v>
      </c>
      <c r="AO559" s="350">
        <f>IFERROR(AD559/(E559+E515+E473)*90,"0.00")</f>
        <v>108.1517186992624</v>
      </c>
      <c r="AP559" s="639">
        <f t="shared" si="86"/>
        <v>9.815661935179866E-2</v>
      </c>
    </row>
    <row r="560" spans="1:42" x14ac:dyDescent="0.2">
      <c r="A560" s="638">
        <v>42735</v>
      </c>
      <c r="B560" s="341" t="s">
        <v>135</v>
      </c>
      <c r="C560" s="351" t="s">
        <v>183</v>
      </c>
      <c r="D560" s="342">
        <v>165372</v>
      </c>
      <c r="E560" s="342">
        <v>11909</v>
      </c>
      <c r="F560" s="342">
        <v>153463</v>
      </c>
      <c r="G560" s="342">
        <v>111670.57086464801</v>
      </c>
      <c r="H560" s="342">
        <v>61417.060690552004</v>
      </c>
      <c r="I560" s="342">
        <v>50253.510174095602</v>
      </c>
      <c r="J560" s="342">
        <v>13678.300062129299</v>
      </c>
      <c r="K560" s="343">
        <f t="shared" si="90"/>
        <v>97992.270802518295</v>
      </c>
      <c r="L560" s="342">
        <v>70847.249123573303</v>
      </c>
      <c r="M560" s="342">
        <v>5682.5599958896601</v>
      </c>
      <c r="N560" s="354">
        <v>781</v>
      </c>
      <c r="O560" s="343">
        <f t="shared" si="75"/>
        <v>211.74391805377721</v>
      </c>
      <c r="P560" s="343">
        <f t="shared" si="76"/>
        <v>113.75440573692322</v>
      </c>
      <c r="Q560" s="343">
        <f t="shared" si="77"/>
        <v>142.98408561414544</v>
      </c>
      <c r="R560" s="344">
        <f t="shared" si="78"/>
        <v>0.67526891411271317</v>
      </c>
      <c r="S560" s="344">
        <f t="shared" si="79"/>
        <v>1.4856943892704839</v>
      </c>
      <c r="T560" s="343">
        <f t="shared" si="80"/>
        <v>134717.68</v>
      </c>
      <c r="U560" s="342">
        <v>99526.589999999982</v>
      </c>
      <c r="V560" s="342">
        <v>4014.65</v>
      </c>
      <c r="W560" s="344">
        <f t="shared" si="87"/>
        <v>4.0337461576850982E-2</v>
      </c>
      <c r="X560" s="342">
        <v>1855.54</v>
      </c>
      <c r="Y560" s="344">
        <f t="shared" si="88"/>
        <v>1.8643660955328625E-2</v>
      </c>
      <c r="Z560" s="342">
        <v>1464.02</v>
      </c>
      <c r="AA560" s="344">
        <f t="shared" si="81"/>
        <v>1.470983784333413E-2</v>
      </c>
      <c r="AB560" s="342">
        <v>6721.54</v>
      </c>
      <c r="AC560" s="344">
        <f t="shared" si="89"/>
        <v>6.7535118002133909E-2</v>
      </c>
      <c r="AD560" s="342">
        <v>35191.089999999997</v>
      </c>
      <c r="AE560" s="342">
        <v>2622.35</v>
      </c>
      <c r="AF560" s="344">
        <f t="shared" si="82"/>
        <v>7.4517441772903315E-2</v>
      </c>
      <c r="AG560" s="342">
        <v>2544.63</v>
      </c>
      <c r="AH560" s="344">
        <f t="shared" si="83"/>
        <v>7.2308928197449995E-2</v>
      </c>
      <c r="AI560" s="342">
        <v>2241.5700000000002</v>
      </c>
      <c r="AJ560" s="344">
        <f t="shared" si="84"/>
        <v>6.3697089234803481E-2</v>
      </c>
      <c r="AK560" s="342">
        <v>17809.89</v>
      </c>
      <c r="AL560" s="784">
        <f t="shared" si="85"/>
        <v>0.50609088834702198</v>
      </c>
      <c r="AM560" s="350">
        <f>IFERROR(T560/(D560+D516+D475)*90,"0.00")</f>
        <v>21.608651436478535</v>
      </c>
      <c r="AN560" s="350">
        <f>IFERROR(U560/(F560+F516+F475)*90,"0.00")</f>
        <v>17.214237980732797</v>
      </c>
      <c r="AO560" s="350">
        <f>IFERROR(AD560/(E560+E516+E475)*90,"0.00")</f>
        <v>77.720745503177824</v>
      </c>
      <c r="AP560" s="639">
        <f t="shared" si="86"/>
        <v>0.15396175990889316</v>
      </c>
    </row>
    <row r="561" spans="1:42" x14ac:dyDescent="0.2">
      <c r="A561" s="638">
        <v>42735</v>
      </c>
      <c r="B561" s="341" t="s">
        <v>135</v>
      </c>
      <c r="C561" s="351" t="s">
        <v>185</v>
      </c>
      <c r="D561" s="342">
        <v>138590.51</v>
      </c>
      <c r="E561" s="342">
        <v>4984</v>
      </c>
      <c r="F561" s="342">
        <v>133606.51</v>
      </c>
      <c r="G561" s="342">
        <v>87662.600690960899</v>
      </c>
      <c r="H561" s="342">
        <v>55252.870526313804</v>
      </c>
      <c r="I561" s="342">
        <v>32409.730164647099</v>
      </c>
      <c r="J561" s="342">
        <v>9847.9300613384694</v>
      </c>
      <c r="K561" s="343">
        <f t="shared" si="90"/>
        <v>77814.670629622429</v>
      </c>
      <c r="L561" s="342">
        <v>61436.399304389997</v>
      </c>
      <c r="M561" s="342">
        <v>5815.7099964618701</v>
      </c>
      <c r="N561" s="354">
        <v>628</v>
      </c>
      <c r="O561" s="343">
        <f t="shared" si="75"/>
        <v>220.68552547770702</v>
      </c>
      <c r="P561" s="343">
        <f t="shared" si="76"/>
        <v>113.59617945724227</v>
      </c>
      <c r="Q561" s="343">
        <f t="shared" si="77"/>
        <v>139.59012848879124</v>
      </c>
      <c r="R561" s="344">
        <f t="shared" si="78"/>
        <v>0.63252960603839969</v>
      </c>
      <c r="S561" s="344">
        <f t="shared" si="79"/>
        <v>1.4256290410803643</v>
      </c>
      <c r="T561" s="343">
        <f t="shared" si="80"/>
        <v>120772.03</v>
      </c>
      <c r="U561" s="342">
        <v>89013.409999999989</v>
      </c>
      <c r="V561" s="342">
        <v>2234.6999999999998</v>
      </c>
      <c r="W561" s="344">
        <f t="shared" si="87"/>
        <v>2.5105206058278186E-2</v>
      </c>
      <c r="X561" s="342">
        <v>1257.28</v>
      </c>
      <c r="Y561" s="344">
        <f t="shared" si="88"/>
        <v>1.4124613358818634E-2</v>
      </c>
      <c r="Z561" s="342">
        <v>3264.57</v>
      </c>
      <c r="AA561" s="344">
        <f t="shared" si="81"/>
        <v>3.6675035817636925E-2</v>
      </c>
      <c r="AB561" s="342">
        <v>4822.5</v>
      </c>
      <c r="AC561" s="344">
        <f t="shared" si="89"/>
        <v>5.4177230149929104E-2</v>
      </c>
      <c r="AD561" s="342">
        <v>31758.620000000003</v>
      </c>
      <c r="AE561" s="342">
        <v>2585.5300000000002</v>
      </c>
      <c r="AF561" s="344">
        <f t="shared" si="82"/>
        <v>8.1411912734243488E-2</v>
      </c>
      <c r="AG561" s="342">
        <v>1371.7</v>
      </c>
      <c r="AH561" s="344">
        <f t="shared" si="83"/>
        <v>4.3191423304916897E-2</v>
      </c>
      <c r="AI561" s="342">
        <v>1197.72</v>
      </c>
      <c r="AJ561" s="344">
        <f t="shared" si="84"/>
        <v>3.7713225574662876E-2</v>
      </c>
      <c r="AK561" s="342">
        <v>14066.57</v>
      </c>
      <c r="AL561" s="784">
        <f t="shared" si="85"/>
        <v>0.44292132340762913</v>
      </c>
      <c r="AM561" s="350">
        <f>IFERROR(T561/(D561+D517+D477)*90,"0.00")</f>
        <v>25.692920944111126</v>
      </c>
      <c r="AN561" s="350">
        <f>IFERROR(U561/(F561+F517+F477)*90,"0.00")</f>
        <v>19.790990452692373</v>
      </c>
      <c r="AO561" s="350">
        <f>IFERROR(AD561/(E561+E517+E477)*90,"0.00")</f>
        <v>156.50636806658272</v>
      </c>
      <c r="AP561" s="639">
        <f t="shared" si="86"/>
        <v>0.13804528787895948</v>
      </c>
    </row>
    <row r="562" spans="1:42" x14ac:dyDescent="0.2">
      <c r="A562" s="638">
        <v>42735</v>
      </c>
      <c r="B562" s="341" t="s">
        <v>135</v>
      </c>
      <c r="C562" s="351" t="s">
        <v>179</v>
      </c>
      <c r="D562" s="342">
        <v>79598.5</v>
      </c>
      <c r="E562" s="342">
        <v>7396</v>
      </c>
      <c r="F562" s="342">
        <v>72202.5</v>
      </c>
      <c r="G562" s="342">
        <v>59087.250493571199</v>
      </c>
      <c r="H562" s="342">
        <v>31873.520337387901</v>
      </c>
      <c r="I562" s="342">
        <v>27213.730156183199</v>
      </c>
      <c r="J562" s="342">
        <v>5649.12002444267</v>
      </c>
      <c r="K562" s="343">
        <f t="shared" si="90"/>
        <v>53438.130469128431</v>
      </c>
      <c r="L562" s="342">
        <v>39269.959601893999</v>
      </c>
      <c r="M562" s="342">
        <v>1656.0400037765501</v>
      </c>
      <c r="N562" s="354">
        <v>396</v>
      </c>
      <c r="O562" s="343">
        <f t="shared" si="75"/>
        <v>201.00631313131314</v>
      </c>
      <c r="P562" s="343">
        <f t="shared" si="76"/>
        <v>97.657829278609725</v>
      </c>
      <c r="Q562" s="343">
        <f t="shared" si="77"/>
        <v>149.21022851911894</v>
      </c>
      <c r="R562" s="344">
        <f t="shared" si="78"/>
        <v>0.74231613024832255</v>
      </c>
      <c r="S562" s="344">
        <f t="shared" si="79"/>
        <v>1.7892550620726684</v>
      </c>
      <c r="T562" s="343">
        <f t="shared" si="80"/>
        <v>69613.06</v>
      </c>
      <c r="U562" s="342">
        <v>46196.77</v>
      </c>
      <c r="V562" s="342">
        <v>1273.6400000000001</v>
      </c>
      <c r="W562" s="344">
        <f t="shared" si="87"/>
        <v>2.7569892873462804E-2</v>
      </c>
      <c r="X562" s="342">
        <v>2437.31</v>
      </c>
      <c r="Y562" s="344">
        <f t="shared" si="88"/>
        <v>5.275931628986183E-2</v>
      </c>
      <c r="Z562" s="342">
        <v>2440.75</v>
      </c>
      <c r="AA562" s="344">
        <f t="shared" si="81"/>
        <v>5.2833780370359233E-2</v>
      </c>
      <c r="AB562" s="342">
        <v>3654.49</v>
      </c>
      <c r="AC562" s="344">
        <f t="shared" si="89"/>
        <v>7.9107045795625969E-2</v>
      </c>
      <c r="AD562" s="342">
        <v>23416.29</v>
      </c>
      <c r="AE562" s="342">
        <v>3738.99</v>
      </c>
      <c r="AF562" s="344">
        <f t="shared" si="82"/>
        <v>0.15967473925203352</v>
      </c>
      <c r="AG562" s="342">
        <v>1456.74</v>
      </c>
      <c r="AH562" s="344">
        <f t="shared" si="83"/>
        <v>6.2210538048512377E-2</v>
      </c>
      <c r="AI562" s="342">
        <v>685.45</v>
      </c>
      <c r="AJ562" s="344">
        <f t="shared" si="84"/>
        <v>2.9272356978838236E-2</v>
      </c>
      <c r="AK562" s="342">
        <v>10011.61</v>
      </c>
      <c r="AL562" s="784">
        <f t="shared" si="85"/>
        <v>0.42754894135663679</v>
      </c>
      <c r="AM562" s="350">
        <f>IFERROR(T562/(D562+D518+D478)*90,"0.00")</f>
        <v>21.73844240300506</v>
      </c>
      <c r="AN562" s="350">
        <f>IFERROR(U562/(F562+F518+F478)*90,"0.00")</f>
        <v>15.75366136240482</v>
      </c>
      <c r="AO562" s="350">
        <f>IFERROR(AD562/(E562+E518+E478)*90,"0.00")</f>
        <v>86.773421995306137</v>
      </c>
      <c r="AP562" s="639">
        <f t="shared" si="86"/>
        <v>0.14607589286548953</v>
      </c>
    </row>
    <row r="563" spans="1:42" x14ac:dyDescent="0.2">
      <c r="A563" s="638">
        <v>42735</v>
      </c>
      <c r="B563" s="341" t="s">
        <v>135</v>
      </c>
      <c r="C563" s="351" t="s">
        <v>187</v>
      </c>
      <c r="D563" s="342">
        <v>102674.919998169</v>
      </c>
      <c r="E563" s="342">
        <v>7716</v>
      </c>
      <c r="F563" s="342">
        <v>94958.919998168902</v>
      </c>
      <c r="G563" s="342">
        <v>72524.000627934904</v>
      </c>
      <c r="H563" s="342">
        <v>40304.430442392797</v>
      </c>
      <c r="I563" s="342">
        <v>32219.570185542099</v>
      </c>
      <c r="J563" s="342">
        <v>7109.9700624942798</v>
      </c>
      <c r="K563" s="343">
        <f t="shared" si="90"/>
        <v>65414.030565440626</v>
      </c>
      <c r="L563" s="342">
        <v>46629.529438018799</v>
      </c>
      <c r="M563" s="342">
        <v>2237.80999994278</v>
      </c>
      <c r="N563" s="354">
        <v>478</v>
      </c>
      <c r="O563" s="343">
        <f t="shared" si="75"/>
        <v>214.80108786227802</v>
      </c>
      <c r="P563" s="343">
        <f t="shared" si="76"/>
        <v>112.56816016779774</v>
      </c>
      <c r="Q563" s="343">
        <f t="shared" si="77"/>
        <v>151.72385068605629</v>
      </c>
      <c r="R563" s="344">
        <f t="shared" si="78"/>
        <v>0.70634582066612073</v>
      </c>
      <c r="S563" s="344">
        <f t="shared" si="79"/>
        <v>1.5530559241673976</v>
      </c>
      <c r="T563" s="343">
        <f t="shared" si="80"/>
        <v>68487.259999999995</v>
      </c>
      <c r="U563" s="342">
        <v>52701.46</v>
      </c>
      <c r="V563" s="342">
        <v>3080.36</v>
      </c>
      <c r="W563" s="344">
        <f t="shared" si="87"/>
        <v>5.8449234613234625E-2</v>
      </c>
      <c r="X563" s="342">
        <v>1030.3</v>
      </c>
      <c r="Y563" s="344">
        <f t="shared" si="88"/>
        <v>1.9549743024197052E-2</v>
      </c>
      <c r="Z563" s="342">
        <v>788.95</v>
      </c>
      <c r="AA563" s="344">
        <f t="shared" si="81"/>
        <v>1.4970173501834674E-2</v>
      </c>
      <c r="AB563" s="342">
        <v>1690.85</v>
      </c>
      <c r="AC563" s="344">
        <f t="shared" si="89"/>
        <v>3.2083551385483439E-2</v>
      </c>
      <c r="AD563" s="342">
        <v>15785.8</v>
      </c>
      <c r="AE563" s="342">
        <v>2774.42</v>
      </c>
      <c r="AF563" s="344">
        <f t="shared" si="82"/>
        <v>0.17575415880094769</v>
      </c>
      <c r="AG563" s="342">
        <v>609.74</v>
      </c>
      <c r="AH563" s="344">
        <f t="shared" si="83"/>
        <v>3.8625853615274493E-2</v>
      </c>
      <c r="AI563" s="342">
        <v>645.86</v>
      </c>
      <c r="AJ563" s="344">
        <f t="shared" si="84"/>
        <v>4.0913985987406407E-2</v>
      </c>
      <c r="AK563" s="342">
        <v>6921.8</v>
      </c>
      <c r="AL563" s="784">
        <f t="shared" si="85"/>
        <v>0.43848268697183546</v>
      </c>
      <c r="AM563" s="350">
        <f>IFERROR(T563/(D563+D519+D480)*90,"0.00")</f>
        <v>19.631986413590454</v>
      </c>
      <c r="AN563" s="350">
        <f>IFERROR(U563/(F563+F519+F480)*90,"0.00")</f>
        <v>16.148648292182443</v>
      </c>
      <c r="AO563" s="350">
        <f>IFERROR(AD563/(E563+E519+E480)*90,"0.00")</f>
        <v>70.148718708339501</v>
      </c>
      <c r="AP563" s="639">
        <f t="shared" si="86"/>
        <v>0.13213695892790894</v>
      </c>
    </row>
    <row r="564" spans="1:42" x14ac:dyDescent="0.2">
      <c r="A564" s="638">
        <v>42735</v>
      </c>
      <c r="B564" s="341" t="s">
        <v>135</v>
      </c>
      <c r="C564" s="351" t="s">
        <v>186</v>
      </c>
      <c r="D564" s="342">
        <v>82639.5</v>
      </c>
      <c r="E564" s="342">
        <v>5302</v>
      </c>
      <c r="F564" s="342">
        <v>77337.5</v>
      </c>
      <c r="G564" s="342">
        <v>59694.660509467103</v>
      </c>
      <c r="H564" s="342">
        <v>37784.940421938903</v>
      </c>
      <c r="I564" s="342">
        <v>21909.7200875282</v>
      </c>
      <c r="J564" s="342">
        <v>7768.3900820612898</v>
      </c>
      <c r="K564" s="343">
        <f t="shared" si="90"/>
        <v>51926.270427405812</v>
      </c>
      <c r="L564" s="342">
        <v>39719.499510765098</v>
      </c>
      <c r="M564" s="342">
        <v>1002.5000048056201</v>
      </c>
      <c r="N564" s="354">
        <v>408</v>
      </c>
      <c r="O564" s="343">
        <f t="shared" si="75"/>
        <v>202.54779411764707</v>
      </c>
      <c r="P564" s="343">
        <f t="shared" si="76"/>
        <v>102.73897177556198</v>
      </c>
      <c r="Q564" s="343">
        <f t="shared" si="77"/>
        <v>146.31044242516447</v>
      </c>
      <c r="R564" s="344">
        <f t="shared" si="78"/>
        <v>0.72235021399533039</v>
      </c>
      <c r="S564" s="344">
        <f t="shared" si="79"/>
        <v>1.7480590213362543</v>
      </c>
      <c r="T564" s="343">
        <f t="shared" si="80"/>
        <v>59889.959999999992</v>
      </c>
      <c r="U564" s="342">
        <v>44143.329999999994</v>
      </c>
      <c r="V564" s="342">
        <v>1358.58</v>
      </c>
      <c r="W564" s="344">
        <f t="shared" si="87"/>
        <v>3.0776563526131808E-2</v>
      </c>
      <c r="X564" s="342">
        <v>2211.67</v>
      </c>
      <c r="Y564" s="344">
        <f t="shared" si="88"/>
        <v>5.0102019942763726E-2</v>
      </c>
      <c r="Z564" s="342">
        <v>731.89</v>
      </c>
      <c r="AA564" s="344">
        <f t="shared" si="81"/>
        <v>1.6579854759484616E-2</v>
      </c>
      <c r="AB564" s="342">
        <v>4438.8900000000003</v>
      </c>
      <c r="AC564" s="344">
        <f t="shared" si="89"/>
        <v>0.10055630148427862</v>
      </c>
      <c r="AD564" s="342">
        <v>15746.630000000001</v>
      </c>
      <c r="AE564" s="342">
        <v>1874.47</v>
      </c>
      <c r="AF564" s="344">
        <f t="shared" si="82"/>
        <v>0.11903943891486622</v>
      </c>
      <c r="AG564" s="342">
        <v>1325.53</v>
      </c>
      <c r="AH564" s="344">
        <f t="shared" si="83"/>
        <v>8.4178646478643357E-2</v>
      </c>
      <c r="AI564" s="342">
        <v>674.19</v>
      </c>
      <c r="AJ564" s="344">
        <f t="shared" si="84"/>
        <v>4.28148753098282E-2</v>
      </c>
      <c r="AK564" s="342">
        <v>8214.9500000000007</v>
      </c>
      <c r="AL564" s="784">
        <f t="shared" si="85"/>
        <v>0.5216957533135661</v>
      </c>
      <c r="AM564" s="350">
        <f>IFERROR(T564/(D564+D520+D479)*90,"0.00")</f>
        <v>21.095025126448014</v>
      </c>
      <c r="AN564" s="350">
        <f>IFERROR(U564/(F564+F520+F479)*90,"0.00")</f>
        <v>16.583457322605184</v>
      </c>
      <c r="AO564" s="350">
        <f>IFERROR(AD564/(E564+E520+E479)*90,"0.00")</f>
        <v>88.880319849482603</v>
      </c>
      <c r="AP564" s="639">
        <f t="shared" si="86"/>
        <v>0.18532569910619895</v>
      </c>
    </row>
    <row r="565" spans="1:42" x14ac:dyDescent="0.2">
      <c r="A565" s="638">
        <v>42735</v>
      </c>
      <c r="B565" s="341" t="s">
        <v>135</v>
      </c>
      <c r="C565" s="351" t="s">
        <v>188</v>
      </c>
      <c r="D565" s="342">
        <v>126342.5</v>
      </c>
      <c r="E565" s="342">
        <v>7526</v>
      </c>
      <c r="F565" s="342">
        <v>118816.5</v>
      </c>
      <c r="G565" s="342">
        <v>87204.040728092194</v>
      </c>
      <c r="H565" s="342">
        <v>53175.510559082002</v>
      </c>
      <c r="I565" s="342">
        <v>34028.530169010199</v>
      </c>
      <c r="J565" s="342">
        <v>7911.0300550144202</v>
      </c>
      <c r="K565" s="343">
        <f t="shared" si="90"/>
        <v>79293.010673077777</v>
      </c>
      <c r="L565" s="342">
        <v>52507.3994445801</v>
      </c>
      <c r="M565" s="342">
        <v>2431.9700122997201</v>
      </c>
      <c r="N565" s="354">
        <v>656</v>
      </c>
      <c r="O565" s="343">
        <f t="shared" si="75"/>
        <v>192.5952743902439</v>
      </c>
      <c r="P565" s="343">
        <f t="shared" si="76"/>
        <v>108.84623558402465</v>
      </c>
      <c r="Q565" s="343">
        <f t="shared" si="77"/>
        <v>132.93298891477468</v>
      </c>
      <c r="R565" s="344">
        <f t="shared" si="78"/>
        <v>0.69021936979315901</v>
      </c>
      <c r="S565" s="344">
        <f t="shared" si="79"/>
        <v>1.3734628411675951</v>
      </c>
      <c r="T565" s="343">
        <f t="shared" si="80"/>
        <v>95955.44</v>
      </c>
      <c r="U565" s="342">
        <v>73127.539999999994</v>
      </c>
      <c r="V565" s="342">
        <v>2220.98</v>
      </c>
      <c r="W565" s="344">
        <f t="shared" si="87"/>
        <v>3.0371321119239073E-2</v>
      </c>
      <c r="X565" s="342">
        <v>2953.14</v>
      </c>
      <c r="Y565" s="344">
        <f t="shared" si="88"/>
        <v>4.0383417793077685E-2</v>
      </c>
      <c r="Z565" s="342">
        <v>616.4</v>
      </c>
      <c r="AA565" s="344">
        <f t="shared" si="81"/>
        <v>8.4291089239430187E-3</v>
      </c>
      <c r="AB565" s="342">
        <v>2192.17</v>
      </c>
      <c r="AC565" s="344">
        <f t="shared" si="89"/>
        <v>2.9977351897793911E-2</v>
      </c>
      <c r="AD565" s="342">
        <v>22827.9</v>
      </c>
      <c r="AE565" s="342">
        <v>3387.68</v>
      </c>
      <c r="AF565" s="344">
        <f t="shared" si="82"/>
        <v>0.14840086035071118</v>
      </c>
      <c r="AG565" s="342">
        <v>1496.85</v>
      </c>
      <c r="AH565" s="344">
        <f t="shared" si="83"/>
        <v>6.5571077497273061E-2</v>
      </c>
      <c r="AI565" s="342">
        <v>1299.08</v>
      </c>
      <c r="AJ565" s="344">
        <f t="shared" si="84"/>
        <v>5.6907556104591306E-2</v>
      </c>
      <c r="AK565" s="342">
        <v>11134.91</v>
      </c>
      <c r="AL565" s="784">
        <f t="shared" si="85"/>
        <v>0.48777636138234348</v>
      </c>
      <c r="AM565" s="350">
        <f>IFERROR(T565/(D565+D521+D481)*90,"0.00")</f>
        <v>23.149187525800279</v>
      </c>
      <c r="AN565" s="350">
        <f>IFERROR(U565/(F565+F521+F481)*90,"0.00")</f>
        <v>18.837162695913996</v>
      </c>
      <c r="AO565" s="350">
        <f>IFERROR(AD565/(E565+E521+E481)*90,"0.00")</f>
        <v>86.798098859315587</v>
      </c>
      <c r="AP565" s="639">
        <f t="shared" si="86"/>
        <v>0.11079388249282668</v>
      </c>
    </row>
    <row r="566" spans="1:42" x14ac:dyDescent="0.2">
      <c r="A566" s="638">
        <v>42735</v>
      </c>
      <c r="B566" s="341" t="s">
        <v>136</v>
      </c>
      <c r="C566" s="351" t="s">
        <v>189</v>
      </c>
      <c r="D566" s="342">
        <v>123889.370004425</v>
      </c>
      <c r="E566" s="342">
        <v>4968</v>
      </c>
      <c r="F566" s="342">
        <v>118921.370004425</v>
      </c>
      <c r="G566" s="342">
        <v>87285.240083813696</v>
      </c>
      <c r="H566" s="342">
        <v>48366.290013313301</v>
      </c>
      <c r="I566" s="342">
        <v>38918.950070500403</v>
      </c>
      <c r="J566" s="342">
        <v>7575.7299845218704</v>
      </c>
      <c r="K566" s="343">
        <f t="shared" si="90"/>
        <v>79709.510099291831</v>
      </c>
      <c r="L566" s="342">
        <v>57256.309968173497</v>
      </c>
      <c r="M566" s="342">
        <v>3287.3899970054599</v>
      </c>
      <c r="N566" s="354">
        <v>553</v>
      </c>
      <c r="O566" s="343">
        <f t="shared" si="75"/>
        <v>224.03141049624773</v>
      </c>
      <c r="P566" s="343">
        <f t="shared" si="76"/>
        <v>114.54913207820259</v>
      </c>
      <c r="Q566" s="343">
        <f t="shared" si="77"/>
        <v>157.83949382244791</v>
      </c>
      <c r="R566" s="344">
        <f t="shared" si="78"/>
        <v>0.70454180274462697</v>
      </c>
      <c r="S566" s="344">
        <f t="shared" si="79"/>
        <v>1.5650947445553143</v>
      </c>
      <c r="T566" s="343">
        <f t="shared" si="80"/>
        <v>84555.01999999999</v>
      </c>
      <c r="U566" s="342">
        <v>63442.409999999996</v>
      </c>
      <c r="V566" s="342">
        <v>2421.48</v>
      </c>
      <c r="W566" s="344">
        <f t="shared" si="87"/>
        <v>3.8168159122580626E-2</v>
      </c>
      <c r="X566" s="342">
        <v>1027.8499999999999</v>
      </c>
      <c r="Y566" s="344">
        <f t="shared" si="88"/>
        <v>1.6201307611107458E-2</v>
      </c>
      <c r="Z566" s="342">
        <v>-1129.33</v>
      </c>
      <c r="AA566" s="344">
        <v>0</v>
      </c>
      <c r="AB566" s="342">
        <v>950.17</v>
      </c>
      <c r="AC566" s="344">
        <f t="shared" si="89"/>
        <v>1.4976890064548306E-2</v>
      </c>
      <c r="AD566" s="342">
        <v>21112.61</v>
      </c>
      <c r="AE566" s="342">
        <v>2901.77</v>
      </c>
      <c r="AF566" s="344">
        <f t="shared" si="82"/>
        <v>0.13744250474005817</v>
      </c>
      <c r="AG566" s="342">
        <v>1356.34</v>
      </c>
      <c r="AH566" s="344">
        <f t="shared" si="83"/>
        <v>6.4243122948796944E-2</v>
      </c>
      <c r="AI566" s="342">
        <v>1204.9100000000001</v>
      </c>
      <c r="AJ566" s="344">
        <f t="shared" si="84"/>
        <v>5.7070632195640431E-2</v>
      </c>
      <c r="AK566" s="342">
        <v>10310.9</v>
      </c>
      <c r="AL566" s="784">
        <f t="shared" si="85"/>
        <v>0.48837637790874738</v>
      </c>
      <c r="AM566" s="350">
        <f>IFERROR(T566/(D566+D522+D482)*90,"0.00")</f>
        <v>20.43221962825422</v>
      </c>
      <c r="AN566" s="350">
        <f>IFERROR(U566/(F566+F522+F482)*90,"0.00")</f>
        <v>16.041217248311504</v>
      </c>
      <c r="AO566" s="350">
        <f>IFERROR(AD566/(E566+E522+E482)*90,"0.00")</f>
        <v>115.14573385044237</v>
      </c>
      <c r="AP566" s="639">
        <f t="shared" si="86"/>
        <v>0.11959349360150899</v>
      </c>
    </row>
    <row r="567" spans="1:42" x14ac:dyDescent="0.2">
      <c r="A567" s="638">
        <v>42735</v>
      </c>
      <c r="B567" s="341" t="s">
        <v>136</v>
      </c>
      <c r="C567" s="351" t="s">
        <v>191</v>
      </c>
      <c r="D567" s="342">
        <v>207780.680005817</v>
      </c>
      <c r="E567" s="342">
        <v>8513</v>
      </c>
      <c r="F567" s="342">
        <v>199267.680005817</v>
      </c>
      <c r="G567" s="342">
        <v>128583.68997373201</v>
      </c>
      <c r="H567" s="342">
        <v>75826.369844814806</v>
      </c>
      <c r="I567" s="342">
        <v>52757.320128917701</v>
      </c>
      <c r="J567" s="342">
        <v>8429.2800495624506</v>
      </c>
      <c r="K567" s="343">
        <f t="shared" si="90"/>
        <v>120154.40992417006</v>
      </c>
      <c r="L567" s="342">
        <v>90876.349930155993</v>
      </c>
      <c r="M567" s="342">
        <v>3237.8999710082999</v>
      </c>
      <c r="N567" s="354">
        <v>807</v>
      </c>
      <c r="O567" s="343">
        <f t="shared" si="75"/>
        <v>257.47296159332961</v>
      </c>
      <c r="P567" s="343">
        <f t="shared" si="76"/>
        <v>140.85059492522021</v>
      </c>
      <c r="Q567" s="343">
        <f t="shared" si="77"/>
        <v>159.33542747674414</v>
      </c>
      <c r="R567" s="344">
        <f t="shared" si="78"/>
        <v>0.61884333986265083</v>
      </c>
      <c r="S567" s="344">
        <f t="shared" si="79"/>
        <v>1.2218469419441771</v>
      </c>
      <c r="T567" s="343">
        <f t="shared" si="80"/>
        <v>175304.13</v>
      </c>
      <c r="U567" s="342">
        <v>135562.28</v>
      </c>
      <c r="V567" s="342">
        <v>1899.56</v>
      </c>
      <c r="W567" s="344">
        <f t="shared" si="87"/>
        <v>1.4012452431458072E-2</v>
      </c>
      <c r="X567" s="342">
        <v>2799.9</v>
      </c>
      <c r="Y567" s="344">
        <f t="shared" si="88"/>
        <v>2.0653975427382898E-2</v>
      </c>
      <c r="Z567" s="342">
        <v>756.65</v>
      </c>
      <c r="AA567" s="344">
        <f t="shared" si="81"/>
        <v>5.5815673799525945E-3</v>
      </c>
      <c r="AB567" s="342">
        <v>2285.66</v>
      </c>
      <c r="AC567" s="344">
        <f t="shared" si="89"/>
        <v>1.6860589833691202E-2</v>
      </c>
      <c r="AD567" s="342">
        <v>39741.850000000006</v>
      </c>
      <c r="AE567" s="342">
        <v>4673.51</v>
      </c>
      <c r="AF567" s="344">
        <f t="shared" si="82"/>
        <v>0.11759668963573662</v>
      </c>
      <c r="AG567" s="342">
        <v>1957.89</v>
      </c>
      <c r="AH567" s="344">
        <f t="shared" si="83"/>
        <v>4.9265195253869659E-2</v>
      </c>
      <c r="AI567" s="342">
        <v>2409.5</v>
      </c>
      <c r="AJ567" s="344">
        <f t="shared" si="84"/>
        <v>6.0628783008340063E-2</v>
      </c>
      <c r="AK567" s="342">
        <v>19118.41</v>
      </c>
      <c r="AL567" s="784">
        <f t="shared" si="85"/>
        <v>0.48106492274516655</v>
      </c>
      <c r="AM567" s="350">
        <f>IFERROR(T567/(D567+D523+D484)*90,"0.00")</f>
        <v>27.86674323163291</v>
      </c>
      <c r="AN567" s="350">
        <f>IFERROR(U567/(F567+F523+F484)*90,"0.00")</f>
        <v>22.348784314263316</v>
      </c>
      <c r="AO567" s="350">
        <f>IFERROR(AD567/(E567+E523+E484)*90,"0.00")</f>
        <v>176.59556137059349</v>
      </c>
      <c r="AP567" s="639">
        <f t="shared" si="86"/>
        <v>7.4158043336116128E-2</v>
      </c>
    </row>
    <row r="568" spans="1:42" x14ac:dyDescent="0.2">
      <c r="A568" s="638">
        <v>42735</v>
      </c>
      <c r="B568" s="341" t="s">
        <v>136</v>
      </c>
      <c r="C568" s="351" t="s">
        <v>190</v>
      </c>
      <c r="D568" s="342">
        <v>175001.07000068601</v>
      </c>
      <c r="E568" s="342">
        <v>11459.0099999998</v>
      </c>
      <c r="F568" s="342">
        <v>163542.060000686</v>
      </c>
      <c r="G568" s="342">
        <v>113994.960195184</v>
      </c>
      <c r="H568" s="342">
        <v>59388.980089783698</v>
      </c>
      <c r="I568" s="342">
        <v>54605.9801054001</v>
      </c>
      <c r="J568" s="342">
        <v>8272.5700175762195</v>
      </c>
      <c r="K568" s="343">
        <f t="shared" si="90"/>
        <v>105722.39017760758</v>
      </c>
      <c r="L568" s="342">
        <v>75434.339908868104</v>
      </c>
      <c r="M568" s="342">
        <v>3485.5099873542799</v>
      </c>
      <c r="N568" s="354">
        <v>727</v>
      </c>
      <c r="O568" s="343">
        <f t="shared" si="75"/>
        <v>240.71674002845367</v>
      </c>
      <c r="P568" s="343">
        <f t="shared" si="76"/>
        <v>132.16123810792769</v>
      </c>
      <c r="Q568" s="343">
        <f t="shared" si="77"/>
        <v>156.80187096999146</v>
      </c>
      <c r="R568" s="344">
        <f t="shared" si="78"/>
        <v>0.65139578972138323</v>
      </c>
      <c r="S568" s="344">
        <f t="shared" si="79"/>
        <v>1.298220164897024</v>
      </c>
      <c r="T568" s="343">
        <f t="shared" si="80"/>
        <v>125288.5</v>
      </c>
      <c r="U568" s="342">
        <v>93726.680000000008</v>
      </c>
      <c r="V568" s="342">
        <v>3616.96</v>
      </c>
      <c r="W568" s="344">
        <f t="shared" si="87"/>
        <v>3.859050592638083E-2</v>
      </c>
      <c r="X568" s="342">
        <v>1516.32</v>
      </c>
      <c r="Y568" s="344">
        <f t="shared" si="88"/>
        <v>1.6178104249505047E-2</v>
      </c>
      <c r="Z568" s="342">
        <v>415.62</v>
      </c>
      <c r="AA568" s="344">
        <f t="shared" si="81"/>
        <v>4.4343830379994249E-3</v>
      </c>
      <c r="AB568" s="342">
        <v>414.38</v>
      </c>
      <c r="AC568" s="344">
        <f t="shared" si="89"/>
        <v>4.4211530804249121E-3</v>
      </c>
      <c r="AD568" s="342">
        <v>31561.82</v>
      </c>
      <c r="AE568" s="342">
        <v>3343.32</v>
      </c>
      <c r="AF568" s="344">
        <f t="shared" si="82"/>
        <v>0.10592925249557852</v>
      </c>
      <c r="AG568" s="342">
        <v>2183.15</v>
      </c>
      <c r="AH568" s="344">
        <f t="shared" si="83"/>
        <v>6.9170599160631424E-2</v>
      </c>
      <c r="AI568" s="342">
        <v>896.93</v>
      </c>
      <c r="AJ568" s="344">
        <f t="shared" si="84"/>
        <v>2.8418196415796047E-2</v>
      </c>
      <c r="AK568" s="342">
        <v>17141.54</v>
      </c>
      <c r="AL568" s="784">
        <f t="shared" si="85"/>
        <v>0.54310999809263216</v>
      </c>
      <c r="AM568" s="350">
        <f>IFERROR(T568/(D568+D524+D483)*90,"0.00")</f>
        <v>22.125489510041344</v>
      </c>
      <c r="AN568" s="350">
        <f>IFERROR(U568/(F568+F524+F483)*90,"0.00")</f>
        <v>17.651941406479207</v>
      </c>
      <c r="AO568" s="350">
        <f>IFERROR(AD568/(E568+E524+E483)*90,"0.00")</f>
        <v>89.429931231329078</v>
      </c>
      <c r="AP568" s="639">
        <f t="shared" si="86"/>
        <v>8.6099760271382123E-2</v>
      </c>
    </row>
    <row r="569" spans="1:42" x14ac:dyDescent="0.2">
      <c r="A569" s="638">
        <v>42735</v>
      </c>
      <c r="B569" s="341" t="s">
        <v>136</v>
      </c>
      <c r="C569" s="351" t="s">
        <v>193</v>
      </c>
      <c r="D569" s="342">
        <v>88398.0800004005</v>
      </c>
      <c r="E569" s="342">
        <v>3528</v>
      </c>
      <c r="F569" s="342">
        <v>84870.0800004005</v>
      </c>
      <c r="G569" s="342">
        <v>44998.090090304599</v>
      </c>
      <c r="H569" s="342">
        <v>24833.280082970901</v>
      </c>
      <c r="I569" s="342">
        <v>20164.810007333799</v>
      </c>
      <c r="J569" s="342">
        <v>2818.8000006675702</v>
      </c>
      <c r="K569" s="343">
        <f t="shared" si="90"/>
        <v>42179.290089637128</v>
      </c>
      <c r="L569" s="342">
        <v>33637.959854125998</v>
      </c>
      <c r="M569" s="342">
        <v>45</v>
      </c>
      <c r="N569" s="354">
        <v>342</v>
      </c>
      <c r="O569" s="343">
        <f t="shared" si="75"/>
        <v>258.47391812982602</v>
      </c>
      <c r="P569" s="343">
        <f t="shared" si="76"/>
        <v>159.98573142185526</v>
      </c>
      <c r="Q569" s="343">
        <f t="shared" si="77"/>
        <v>131.57336283714824</v>
      </c>
      <c r="R569" s="344">
        <f t="shared" si="78"/>
        <v>0.50903922449560934</v>
      </c>
      <c r="S569" s="344">
        <f t="shared" si="79"/>
        <v>0.8670767014703995</v>
      </c>
      <c r="T569" s="343">
        <f t="shared" si="80"/>
        <v>72336.400000000009</v>
      </c>
      <c r="U569" s="342">
        <v>67723.840000000011</v>
      </c>
      <c r="V569" s="342">
        <v>996.66</v>
      </c>
      <c r="W569" s="344">
        <f t="shared" si="87"/>
        <v>1.4716531135859984E-2</v>
      </c>
      <c r="X569" s="342">
        <v>805.89</v>
      </c>
      <c r="Y569" s="344">
        <f t="shared" si="88"/>
        <v>1.1899650108440393E-2</v>
      </c>
      <c r="Z569" s="342">
        <v>835.06</v>
      </c>
      <c r="AA569" s="344">
        <f t="shared" si="81"/>
        <v>1.2330369925863623E-2</v>
      </c>
      <c r="AB569" s="342">
        <v>-1497.52</v>
      </c>
      <c r="AC569" s="344">
        <v>0</v>
      </c>
      <c r="AD569" s="342">
        <v>4612.5600000000004</v>
      </c>
      <c r="AE569" s="342">
        <v>586.22</v>
      </c>
      <c r="AF569" s="344">
        <f t="shared" si="82"/>
        <v>0.12709211370692197</v>
      </c>
      <c r="AG569" s="342">
        <v>550.53</v>
      </c>
      <c r="AH569" s="344">
        <f t="shared" si="83"/>
        <v>0.11935454498152868</v>
      </c>
      <c r="AI569" s="342">
        <v>487.9</v>
      </c>
      <c r="AJ569" s="344">
        <f t="shared" si="84"/>
        <v>0.1057764018245833</v>
      </c>
      <c r="AK569" s="342">
        <v>1603.49</v>
      </c>
      <c r="AL569" s="784">
        <f t="shared" si="85"/>
        <v>0.34763558631215635</v>
      </c>
      <c r="AM569" s="350">
        <f>IFERROR(T569/(D569+D525+D486)*90,"0.00")</f>
        <v>30.887813337805021</v>
      </c>
      <c r="AN569" s="350">
        <f>IFERROR(U569/(F569+F525+F486)*90,"0.00")</f>
        <v>30.326571307310829</v>
      </c>
      <c r="AO569" s="350">
        <f>IFERROR(AD569/(E569+E525+E486)*90,"0.00")</f>
        <v>42.41217817736004</v>
      </c>
      <c r="AP569" s="639">
        <f t="shared" si="86"/>
        <v>5.1517752188642497E-2</v>
      </c>
    </row>
    <row r="570" spans="1:42" x14ac:dyDescent="0.2">
      <c r="A570" s="638">
        <v>42735</v>
      </c>
      <c r="B570" s="341" t="s">
        <v>136</v>
      </c>
      <c r="C570" s="351" t="s">
        <v>192</v>
      </c>
      <c r="D570" s="342">
        <v>207967.750002174</v>
      </c>
      <c r="E570" s="342">
        <v>10369</v>
      </c>
      <c r="F570" s="342">
        <v>197598.750002174</v>
      </c>
      <c r="G570" s="342">
        <v>143550.30032995201</v>
      </c>
      <c r="H570" s="342">
        <v>83325.520221022904</v>
      </c>
      <c r="I570" s="342">
        <v>60224.780108928702</v>
      </c>
      <c r="J570" s="342">
        <v>10859.310122966799</v>
      </c>
      <c r="K570" s="343">
        <f t="shared" si="90"/>
        <v>132690.9902069848</v>
      </c>
      <c r="L570" s="342">
        <v>84005.250143051104</v>
      </c>
      <c r="M570" s="342">
        <v>5028.7400186155</v>
      </c>
      <c r="N570" s="354">
        <v>1151</v>
      </c>
      <c r="O570" s="343">
        <f t="shared" si="75"/>
        <v>180.68440486722329</v>
      </c>
      <c r="P570" s="343">
        <f t="shared" si="76"/>
        <v>103.3308078544808</v>
      </c>
      <c r="Q570" s="343">
        <f t="shared" si="77"/>
        <v>124.71789776711694</v>
      </c>
      <c r="R570" s="344">
        <f t="shared" si="78"/>
        <v>0.69025269700927661</v>
      </c>
      <c r="S570" s="344">
        <f t="shared" si="79"/>
        <v>1.3282538167451177</v>
      </c>
      <c r="T570" s="343">
        <f t="shared" si="80"/>
        <v>200498.98</v>
      </c>
      <c r="U570" s="342">
        <v>145109.44</v>
      </c>
      <c r="V570" s="342">
        <v>5259.24</v>
      </c>
      <c r="W570" s="344">
        <f t="shared" si="87"/>
        <v>3.6243265772371525E-2</v>
      </c>
      <c r="X570" s="342">
        <v>2209.63</v>
      </c>
      <c r="Y570" s="344">
        <f t="shared" si="88"/>
        <v>1.5227334624129209E-2</v>
      </c>
      <c r="Z570" s="342">
        <v>1087.45</v>
      </c>
      <c r="AA570" s="344">
        <f t="shared" si="81"/>
        <v>7.4939990120560041E-3</v>
      </c>
      <c r="AB570" s="342">
        <v>2133</v>
      </c>
      <c r="AC570" s="344">
        <f t="shared" si="89"/>
        <v>1.4699250441597735E-2</v>
      </c>
      <c r="AD570" s="342">
        <v>55389.54</v>
      </c>
      <c r="AE570" s="342">
        <v>5846.33</v>
      </c>
      <c r="AF570" s="344">
        <f t="shared" si="82"/>
        <v>0.10554935101465006</v>
      </c>
      <c r="AG570" s="342">
        <v>5670.48</v>
      </c>
      <c r="AH570" s="344">
        <f t="shared" si="83"/>
        <v>0.10237456386169662</v>
      </c>
      <c r="AI570" s="342">
        <v>2991.86</v>
      </c>
      <c r="AJ570" s="344">
        <f t="shared" si="84"/>
        <v>5.4014891620331205E-2</v>
      </c>
      <c r="AK570" s="342">
        <v>29342.84</v>
      </c>
      <c r="AL570" s="784">
        <f t="shared" si="85"/>
        <v>0.52975417380249046</v>
      </c>
      <c r="AM570" s="350">
        <f>IFERROR(T570/(D570+D526+D485)*90,"0.00")</f>
        <v>28.702357660714078</v>
      </c>
      <c r="AN570" s="350">
        <f>IFERROR(U570/(F570+F526+F485)*90,"0.00")</f>
        <v>22.100509400088402</v>
      </c>
      <c r="AO570" s="350">
        <f>IFERROR(AD570/(E570+E526+E485)*90,"0.00")</f>
        <v>132.01606419321521</v>
      </c>
      <c r="AP570" s="639">
        <f t="shared" si="86"/>
        <v>9.1305531226199832E-2</v>
      </c>
    </row>
    <row r="571" spans="1:42" x14ac:dyDescent="0.2">
      <c r="A571" s="638">
        <v>42735</v>
      </c>
      <c r="B571" s="341" t="s">
        <v>136</v>
      </c>
      <c r="C571" s="351" t="s">
        <v>304</v>
      </c>
      <c r="D571" s="342">
        <v>39968.109999179796</v>
      </c>
      <c r="E571" s="342">
        <v>1945</v>
      </c>
      <c r="F571" s="342">
        <v>38023.109999179796</v>
      </c>
      <c r="G571" s="342">
        <v>16014.030057907101</v>
      </c>
      <c r="H571" s="342">
        <v>5940.4000415802002</v>
      </c>
      <c r="I571" s="342">
        <v>10073.630016326901</v>
      </c>
      <c r="J571" s="342">
        <v>0</v>
      </c>
      <c r="K571" s="343">
        <f t="shared" si="90"/>
        <v>16014.030057907101</v>
      </c>
      <c r="L571" s="342">
        <v>7891.5399627685501</v>
      </c>
      <c r="M571" s="342">
        <v>0</v>
      </c>
      <c r="N571" s="354">
        <v>166</v>
      </c>
      <c r="O571" s="343">
        <f t="shared" ref="O571:O608" si="91">IFERROR(SUM(E571:F571)/N571,"$0.00")</f>
        <v>240.77174698301081</v>
      </c>
      <c r="P571" s="343">
        <f t="shared" ref="P571:P634" si="92">IFERROR((E571+F571-L571-M571)/N571,"$0.00")</f>
        <v>193.23234961693521</v>
      </c>
      <c r="Q571" s="343">
        <f t="shared" ref="Q571:Q634" si="93">IFERROR((H571+I571)/N571,"$0.00")</f>
        <v>96.470060589801818</v>
      </c>
      <c r="R571" s="344">
        <f t="shared" ref="R571:R634" si="94">IFERROR((H571+I571)/(E571+F571),"0.00%")</f>
        <v>0.40067018576149166</v>
      </c>
      <c r="S571" s="344">
        <f t="shared" ref="S571:S634" si="95">IFERROR((H571+I571)/(F571+E571-L571-M571-J571),"0.00%")</f>
        <v>0.49924384183623782</v>
      </c>
      <c r="T571" s="343">
        <f t="shared" ref="T571:T634" si="96">+U571+AD571</f>
        <v>32855.64</v>
      </c>
      <c r="U571" s="342">
        <v>31932.05</v>
      </c>
      <c r="V571" s="342">
        <v>0</v>
      </c>
      <c r="W571" s="344">
        <f t="shared" si="87"/>
        <v>0</v>
      </c>
      <c r="X571" s="342">
        <v>0</v>
      </c>
      <c r="Y571" s="344">
        <f t="shared" si="88"/>
        <v>0</v>
      </c>
      <c r="Z571" s="342">
        <v>0</v>
      </c>
      <c r="AA571" s="344">
        <f t="shared" si="81"/>
        <v>0</v>
      </c>
      <c r="AB571" s="342">
        <v>0</v>
      </c>
      <c r="AC571" s="344">
        <f t="shared" si="89"/>
        <v>0</v>
      </c>
      <c r="AD571" s="342">
        <v>923.59</v>
      </c>
      <c r="AE571" s="342">
        <v>0</v>
      </c>
      <c r="AF571" s="344">
        <f t="shared" si="82"/>
        <v>0</v>
      </c>
      <c r="AG571" s="342">
        <v>0</v>
      </c>
      <c r="AH571" s="344">
        <f t="shared" si="83"/>
        <v>0</v>
      </c>
      <c r="AI571" s="342">
        <v>0</v>
      </c>
      <c r="AJ571" s="344">
        <f t="shared" si="84"/>
        <v>0</v>
      </c>
      <c r="AK571" s="342">
        <v>0</v>
      </c>
      <c r="AL571" s="784">
        <f t="shared" si="85"/>
        <v>0</v>
      </c>
      <c r="AM571" s="350">
        <f>IFERROR(T571/(D571+D527)*60,"0.00")</f>
        <v>36.199974659429216</v>
      </c>
      <c r="AN571" s="350">
        <f>IFERROR(U571/(F571+F527)*60,"0.00")</f>
        <v>37.805141785485645</v>
      </c>
      <c r="AO571" s="350">
        <f>IFERROR(AD571/(E571+E527)*60,"0.00")</f>
        <v>14.667919534145051</v>
      </c>
      <c r="AP571" s="639">
        <f t="shared" si="86"/>
        <v>0</v>
      </c>
    </row>
    <row r="572" spans="1:42" x14ac:dyDescent="0.2">
      <c r="A572" s="638">
        <v>42735</v>
      </c>
      <c r="B572" s="341" t="s">
        <v>136</v>
      </c>
      <c r="C572" s="351" t="s">
        <v>194</v>
      </c>
      <c r="D572" s="342">
        <v>124663.26000190699</v>
      </c>
      <c r="E572" s="342">
        <v>7703</v>
      </c>
      <c r="F572" s="342">
        <v>116960.26000190699</v>
      </c>
      <c r="G572" s="342">
        <v>85763.970020890207</v>
      </c>
      <c r="H572" s="342">
        <v>45670.029942154899</v>
      </c>
      <c r="I572" s="342">
        <v>40093.940078735402</v>
      </c>
      <c r="J572" s="342">
        <v>5336.9000139236496</v>
      </c>
      <c r="K572" s="343">
        <f t="shared" si="90"/>
        <v>80427.070006966649</v>
      </c>
      <c r="L572" s="342">
        <v>56744.270065307603</v>
      </c>
      <c r="M572" s="342">
        <v>3179.11000183225</v>
      </c>
      <c r="N572" s="354">
        <v>506</v>
      </c>
      <c r="O572" s="343">
        <f t="shared" si="91"/>
        <v>246.37007905515216</v>
      </c>
      <c r="P572" s="343">
        <f t="shared" si="92"/>
        <v>127.94442674855166</v>
      </c>
      <c r="Q572" s="343">
        <f t="shared" si="93"/>
        <v>169.49401189899268</v>
      </c>
      <c r="R572" s="344">
        <f t="shared" si="94"/>
        <v>0.68796508305316539</v>
      </c>
      <c r="S572" s="344">
        <f t="shared" si="95"/>
        <v>1.4437654497328876</v>
      </c>
      <c r="T572" s="343">
        <f t="shared" si="96"/>
        <v>86695.03</v>
      </c>
      <c r="U572" s="342">
        <v>66008.77</v>
      </c>
      <c r="V572" s="342">
        <v>1974.81</v>
      </c>
      <c r="W572" s="344">
        <f t="shared" si="87"/>
        <v>2.9917388250076466E-2</v>
      </c>
      <c r="X572" s="342">
        <v>353.27</v>
      </c>
      <c r="Y572" s="344">
        <f t="shared" si="88"/>
        <v>5.3518646082937153E-3</v>
      </c>
      <c r="Z572" s="342">
        <v>143.86000000000001</v>
      </c>
      <c r="AA572" s="344">
        <f t="shared" si="81"/>
        <v>2.1794073726869932E-3</v>
      </c>
      <c r="AB572" s="342">
        <v>289.95999999999998</v>
      </c>
      <c r="AC572" s="344">
        <f t="shared" si="89"/>
        <v>4.3927496300870316E-3</v>
      </c>
      <c r="AD572" s="342">
        <v>20686.260000000002</v>
      </c>
      <c r="AE572" s="342">
        <v>1271.22</v>
      </c>
      <c r="AF572" s="344">
        <f t="shared" si="82"/>
        <v>6.145238433626958E-2</v>
      </c>
      <c r="AG572" s="342">
        <v>913.93</v>
      </c>
      <c r="AH572" s="344">
        <f t="shared" si="83"/>
        <v>4.4180533358857514E-2</v>
      </c>
      <c r="AI572" s="342">
        <v>1284.8699999999999</v>
      </c>
      <c r="AJ572" s="344">
        <f t="shared" si="84"/>
        <v>6.2112242619013769E-2</v>
      </c>
      <c r="AK572" s="342">
        <v>9886.36</v>
      </c>
      <c r="AL572" s="784">
        <f t="shared" si="85"/>
        <v>0.47791915986746758</v>
      </c>
      <c r="AM572" s="350">
        <f>IFERROR(T572/(D572+D528+D487)*90,"0.00")</f>
        <v>22.764300938801703</v>
      </c>
      <c r="AN572" s="350">
        <f>IFERROR(U572/(F572+F528+F487)*90,"0.00")</f>
        <v>18.494866394905319</v>
      </c>
      <c r="AO572" s="350">
        <f>IFERROR(AD572/(E572+E528+E487)*90,"0.00")</f>
        <v>86.428788622261408</v>
      </c>
      <c r="AP572" s="639">
        <f t="shared" si="86"/>
        <v>8.2436050534866426E-2</v>
      </c>
    </row>
    <row r="573" spans="1:42" x14ac:dyDescent="0.2">
      <c r="A573" s="638">
        <v>42735</v>
      </c>
      <c r="B573" s="341" t="s">
        <v>136</v>
      </c>
      <c r="C573" s="351" t="s">
        <v>195</v>
      </c>
      <c r="D573" s="342">
        <v>116206.740004063</v>
      </c>
      <c r="E573" s="342">
        <v>3941</v>
      </c>
      <c r="F573" s="342">
        <v>112265.740004063</v>
      </c>
      <c r="G573" s="342">
        <v>71082.950041182296</v>
      </c>
      <c r="H573" s="342">
        <v>40958.959980376101</v>
      </c>
      <c r="I573" s="342">
        <v>30123.9900608063</v>
      </c>
      <c r="J573" s="342">
        <v>3585.7700212094901</v>
      </c>
      <c r="K573" s="343">
        <f t="shared" si="90"/>
        <v>67497.180019972904</v>
      </c>
      <c r="L573" s="342">
        <v>43460.569916926303</v>
      </c>
      <c r="M573" s="342">
        <v>804.44999790191696</v>
      </c>
      <c r="N573" s="354">
        <v>540</v>
      </c>
      <c r="O573" s="343">
        <f t="shared" si="91"/>
        <v>215.19766667419074</v>
      </c>
      <c r="P573" s="343">
        <f t="shared" si="92"/>
        <v>133.22540757265702</v>
      </c>
      <c r="Q573" s="343">
        <f t="shared" si="93"/>
        <v>131.63509266885629</v>
      </c>
      <c r="R573" s="344">
        <f t="shared" si="94"/>
        <v>0.61169386593838782</v>
      </c>
      <c r="S573" s="344">
        <f t="shared" si="95"/>
        <v>1.0398941126623695</v>
      </c>
      <c r="T573" s="343">
        <f t="shared" si="96"/>
        <v>87892.59</v>
      </c>
      <c r="U573" s="342">
        <v>70937.88</v>
      </c>
      <c r="V573" s="342">
        <v>3246.97</v>
      </c>
      <c r="W573" s="344">
        <f t="shared" si="87"/>
        <v>4.5772019124338079E-2</v>
      </c>
      <c r="X573" s="342">
        <v>1969.69</v>
      </c>
      <c r="Y573" s="344">
        <f t="shared" si="88"/>
        <v>2.7766406326211045E-2</v>
      </c>
      <c r="Z573" s="342">
        <v>266.77999999999997</v>
      </c>
      <c r="AA573" s="344">
        <f t="shared" si="81"/>
        <v>3.7607551846770716E-3</v>
      </c>
      <c r="AB573" s="342">
        <v>-246.42</v>
      </c>
      <c r="AC573" s="344">
        <f t="shared" si="89"/>
        <v>-3.4737435062902919E-3</v>
      </c>
      <c r="AD573" s="342">
        <v>16954.71</v>
      </c>
      <c r="AE573" s="342">
        <v>3039.51</v>
      </c>
      <c r="AF573" s="344">
        <f t="shared" si="82"/>
        <v>0.17927230840279784</v>
      </c>
      <c r="AG573" s="342">
        <v>1518.46</v>
      </c>
      <c r="AH573" s="344">
        <f t="shared" si="83"/>
        <v>8.9559774245622614E-2</v>
      </c>
      <c r="AI573" s="342">
        <v>989.51</v>
      </c>
      <c r="AJ573" s="344">
        <f t="shared" si="84"/>
        <v>5.8361953699001635E-2</v>
      </c>
      <c r="AK573" s="342">
        <v>6455.26</v>
      </c>
      <c r="AL573" s="784">
        <f t="shared" si="85"/>
        <v>0.38073550063669626</v>
      </c>
      <c r="AM573" s="350">
        <f>IFERROR(T573/(D573+D529+D488)*90,"0.00")</f>
        <v>25.35379913030301</v>
      </c>
      <c r="AN573" s="350">
        <f>IFERROR(U573/(F573+F529+F488)*90,"0.00")</f>
        <v>21.197989480496204</v>
      </c>
      <c r="AO573" s="350">
        <f>IFERROR(AD573/(E573+E529+E488)*90,"0.00")</f>
        <v>141.05415973377703</v>
      </c>
      <c r="AP573" s="639">
        <f t="shared" si="86"/>
        <v>4.9842706245580265E-2</v>
      </c>
    </row>
    <row r="574" spans="1:42" x14ac:dyDescent="0.2">
      <c r="A574" s="638">
        <v>42735</v>
      </c>
      <c r="B574" s="341" t="s">
        <v>136</v>
      </c>
      <c r="C574" s="351" t="s">
        <v>305</v>
      </c>
      <c r="D574" s="342">
        <v>53056.810001373298</v>
      </c>
      <c r="E574" s="342">
        <v>2451</v>
      </c>
      <c r="F574" s="342">
        <v>50605.810001373298</v>
      </c>
      <c r="G574" s="342">
        <v>29339.429983317899</v>
      </c>
      <c r="H574" s="342">
        <v>14951.089944064601</v>
      </c>
      <c r="I574" s="342">
        <v>14388.3400392532</v>
      </c>
      <c r="J574" s="342">
        <v>1086.16999864578</v>
      </c>
      <c r="K574" s="343">
        <f t="shared" si="90"/>
        <v>28253.259984672022</v>
      </c>
      <c r="L574" s="342">
        <v>21746.220077514601</v>
      </c>
      <c r="M574" s="342">
        <v>0</v>
      </c>
      <c r="N574" s="354">
        <v>251</v>
      </c>
      <c r="O574" s="343">
        <f t="shared" si="91"/>
        <v>211.38171315288167</v>
      </c>
      <c r="P574" s="343">
        <f t="shared" si="92"/>
        <v>124.74338615083147</v>
      </c>
      <c r="Q574" s="343">
        <f t="shared" si="93"/>
        <v>116.89015929608685</v>
      </c>
      <c r="R574" s="344">
        <f t="shared" si="94"/>
        <v>0.55298141713680848</v>
      </c>
      <c r="S574" s="344">
        <f t="shared" si="95"/>
        <v>0.97071937380155082</v>
      </c>
      <c r="T574" s="343">
        <f t="shared" si="96"/>
        <v>42907.37999999999</v>
      </c>
      <c r="U574" s="342">
        <v>38463.109999999993</v>
      </c>
      <c r="V574" s="342">
        <v>2484.88</v>
      </c>
      <c r="W574" s="344">
        <f t="shared" si="87"/>
        <v>6.4604240270742547E-2</v>
      </c>
      <c r="X574" s="342">
        <v>1258.5</v>
      </c>
      <c r="Y574" s="344">
        <f t="shared" si="88"/>
        <v>3.2719663074566779E-2</v>
      </c>
      <c r="Z574" s="342">
        <v>0</v>
      </c>
      <c r="AA574" s="344">
        <f t="shared" si="81"/>
        <v>0</v>
      </c>
      <c r="AB574" s="342">
        <v>0</v>
      </c>
      <c r="AC574" s="344">
        <f t="shared" si="89"/>
        <v>0</v>
      </c>
      <c r="AD574" s="342">
        <v>4444.2699999999995</v>
      </c>
      <c r="AE574" s="342">
        <v>988.35</v>
      </c>
      <c r="AF574" s="344">
        <f t="shared" si="82"/>
        <v>0.22238747870853934</v>
      </c>
      <c r="AG574" s="342">
        <v>557.65</v>
      </c>
      <c r="AH574" s="344">
        <f t="shared" si="83"/>
        <v>0.1254761749398664</v>
      </c>
      <c r="AI574" s="342">
        <v>0</v>
      </c>
      <c r="AJ574" s="344">
        <f t="shared" si="84"/>
        <v>0</v>
      </c>
      <c r="AK574" s="342">
        <v>0</v>
      </c>
      <c r="AL574" s="784">
        <f t="shared" si="85"/>
        <v>0</v>
      </c>
      <c r="AM574" s="350">
        <f>IFERROR(T574/(D574+D530+D404)*90,"0.00")</f>
        <v>14.7624384452178</v>
      </c>
      <c r="AN574" s="350">
        <f>IFERROR(U574/(F574+F530+F404)*90,"0.00")</f>
        <v>14.172508726857998</v>
      </c>
      <c r="AO574" s="350">
        <f>IFERROR(AD574/(E574+E530+E404)*90,"0.00")</f>
        <v>23.075129802699895</v>
      </c>
      <c r="AP574" s="639">
        <f t="shared" si="86"/>
        <v>3.4690179945096385E-2</v>
      </c>
    </row>
    <row r="575" spans="1:42" x14ac:dyDescent="0.2">
      <c r="A575" s="638">
        <v>42735</v>
      </c>
      <c r="B575" s="341" t="s">
        <v>136</v>
      </c>
      <c r="C575" s="351" t="s">
        <v>196</v>
      </c>
      <c r="D575" s="342">
        <v>108257.740005493</v>
      </c>
      <c r="E575" s="342">
        <v>6359</v>
      </c>
      <c r="F575" s="342">
        <v>101898.740005493</v>
      </c>
      <c r="G575" s="342">
        <v>71209.6401239634</v>
      </c>
      <c r="H575" s="342">
        <v>37156.390057682998</v>
      </c>
      <c r="I575" s="342">
        <v>34053.250066280401</v>
      </c>
      <c r="J575" s="342">
        <v>5024.4400076866104</v>
      </c>
      <c r="K575" s="343">
        <f t="shared" si="90"/>
        <v>66185.200116276785</v>
      </c>
      <c r="L575" s="342">
        <v>49430.040056109399</v>
      </c>
      <c r="M575" s="342">
        <v>19.5</v>
      </c>
      <c r="N575" s="354">
        <v>552</v>
      </c>
      <c r="O575" s="343">
        <f t="shared" si="91"/>
        <v>196.11909421284963</v>
      </c>
      <c r="P575" s="343">
        <f t="shared" si="92"/>
        <v>106.53659411120218</v>
      </c>
      <c r="Q575" s="343">
        <f t="shared" si="93"/>
        <v>129.00297123906412</v>
      </c>
      <c r="R575" s="344">
        <f t="shared" si="94"/>
        <v>0.6577787428441626</v>
      </c>
      <c r="S575" s="344">
        <f t="shared" si="95"/>
        <v>1.3239989208853473</v>
      </c>
      <c r="T575" s="343">
        <f t="shared" si="96"/>
        <v>72366.41</v>
      </c>
      <c r="U575" s="342">
        <v>56301.06</v>
      </c>
      <c r="V575" s="342">
        <v>1887.42</v>
      </c>
      <c r="W575" s="344">
        <f t="shared" si="87"/>
        <v>3.3523702750889596E-2</v>
      </c>
      <c r="X575" s="342">
        <v>1340.28</v>
      </c>
      <c r="Y575" s="344">
        <f t="shared" si="88"/>
        <v>2.3805590871646111E-2</v>
      </c>
      <c r="Z575" s="342">
        <v>-1294.75</v>
      </c>
      <c r="AA575" s="344">
        <v>0</v>
      </c>
      <c r="AB575" s="342">
        <v>-350.75</v>
      </c>
      <c r="AC575" s="344">
        <f t="shared" si="89"/>
        <v>-6.2299004672380946E-3</v>
      </c>
      <c r="AD575" s="342">
        <v>16065.350000000002</v>
      </c>
      <c r="AE575" s="342">
        <v>1427.5</v>
      </c>
      <c r="AF575" s="344">
        <f t="shared" si="82"/>
        <v>8.8855829471502321E-2</v>
      </c>
      <c r="AG575" s="342">
        <v>952.32</v>
      </c>
      <c r="AH575" s="344">
        <f t="shared" si="83"/>
        <v>5.9277886880771347E-2</v>
      </c>
      <c r="AI575" s="342">
        <v>2226.4499999999998</v>
      </c>
      <c r="AJ575" s="344">
        <f t="shared" si="84"/>
        <v>0.13858708338131442</v>
      </c>
      <c r="AK575" s="342">
        <v>5537.29</v>
      </c>
      <c r="AL575" s="784">
        <f t="shared" si="85"/>
        <v>0.34467285182084417</v>
      </c>
      <c r="AM575" s="350">
        <f>IFERROR(T575/(D575+D531+D489)*90,"0.00")</f>
        <v>21.556355522702635</v>
      </c>
      <c r="AN575" s="350">
        <f>IFERROR(U575/(F575+D531+D489)*90,"0.00")</f>
        <v>17.131402516710168</v>
      </c>
      <c r="AO575" s="350">
        <f>IFERROR(AD575/(E575+D531+D489)*90,"0.00")</f>
        <v>7.2207981422950844</v>
      </c>
      <c r="AP575" s="639">
        <f t="shared" si="86"/>
        <v>8.5437745280609864E-2</v>
      </c>
    </row>
    <row r="576" spans="1:42" x14ac:dyDescent="0.2">
      <c r="A576" s="638">
        <v>42735</v>
      </c>
      <c r="B576" s="341" t="s">
        <v>136</v>
      </c>
      <c r="C576" s="351" t="s">
        <v>290</v>
      </c>
      <c r="D576" s="342">
        <v>99858.300003528595</v>
      </c>
      <c r="E576" s="342">
        <v>6613</v>
      </c>
      <c r="F576" s="342">
        <v>93245.300003528595</v>
      </c>
      <c r="G576" s="342">
        <v>62056.880078829803</v>
      </c>
      <c r="H576" s="342">
        <v>32500.560008086301</v>
      </c>
      <c r="I576" s="342">
        <v>29556.320070743601</v>
      </c>
      <c r="J576" s="342">
        <v>3219.89000198245</v>
      </c>
      <c r="K576" s="343">
        <f t="shared" si="90"/>
        <v>58836.990076847447</v>
      </c>
      <c r="L576" s="342">
        <v>37233.8101300821</v>
      </c>
      <c r="M576" s="342">
        <v>33.300000915303002</v>
      </c>
      <c r="N576" s="354">
        <v>439</v>
      </c>
      <c r="O576" s="343">
        <f t="shared" si="91"/>
        <v>227.46765376657996</v>
      </c>
      <c r="P576" s="343">
        <f t="shared" si="92"/>
        <v>142.57674230644918</v>
      </c>
      <c r="Q576" s="343">
        <f t="shared" si="93"/>
        <v>141.35963571487449</v>
      </c>
      <c r="R576" s="344">
        <f t="shared" si="94"/>
        <v>0.62144939455845993</v>
      </c>
      <c r="S576" s="344">
        <f t="shared" si="95"/>
        <v>1.0452336434293457</v>
      </c>
      <c r="T576" s="343">
        <f t="shared" si="96"/>
        <v>71084.950000000012</v>
      </c>
      <c r="U576" s="342">
        <v>59935.090000000004</v>
      </c>
      <c r="V576" s="342">
        <v>490.19</v>
      </c>
      <c r="W576" s="344">
        <f t="shared" si="87"/>
        <v>8.1786813033900511E-3</v>
      </c>
      <c r="X576" s="342">
        <v>-107.83</v>
      </c>
      <c r="Y576" s="344">
        <v>0</v>
      </c>
      <c r="Z576" s="342">
        <v>-639.45000000000005</v>
      </c>
      <c r="AA576" s="344">
        <v>0</v>
      </c>
      <c r="AB576" s="342">
        <v>-732.77</v>
      </c>
      <c r="AC576" s="344">
        <v>0</v>
      </c>
      <c r="AD576" s="342">
        <v>11149.860000000002</v>
      </c>
      <c r="AE576" s="342">
        <v>1575.61</v>
      </c>
      <c r="AF576" s="344">
        <f t="shared" si="82"/>
        <v>0.14131208822352923</v>
      </c>
      <c r="AG576" s="342">
        <v>1428.94</v>
      </c>
      <c r="AH576" s="344">
        <f t="shared" si="83"/>
        <v>0.12815766296617176</v>
      </c>
      <c r="AI576" s="342">
        <v>834.54</v>
      </c>
      <c r="AJ576" s="344">
        <f t="shared" si="84"/>
        <v>7.4847576561499402E-2</v>
      </c>
      <c r="AK576" s="342">
        <v>1076.53</v>
      </c>
      <c r="AL576" s="784">
        <f t="shared" si="85"/>
        <v>9.6550988084155298E-2</v>
      </c>
      <c r="AM576" s="350">
        <f>IFERROR(T576/(D576+D532+D490)*90,"0.00")</f>
        <v>23.194775121278397</v>
      </c>
      <c r="AN576" s="350">
        <f>IFERROR(U576/(F576+F532+F490)*90,"0.00")</f>
        <v>20.801429679846873</v>
      </c>
      <c r="AO576" s="350">
        <f>IFERROR(AD576/(E576+E532+E490)*90,"0.00")</f>
        <v>60.795310796074169</v>
      </c>
      <c r="AP576" s="639">
        <f t="shared" si="86"/>
        <v>5.1443182475678306E-2</v>
      </c>
    </row>
    <row r="577" spans="1:42" x14ac:dyDescent="0.2">
      <c r="A577" s="638">
        <v>42735</v>
      </c>
      <c r="B577" s="341" t="s">
        <v>137</v>
      </c>
      <c r="C577" s="351" t="s">
        <v>209</v>
      </c>
      <c r="D577" s="342">
        <v>91440.290002822905</v>
      </c>
      <c r="E577" s="342">
        <v>4143</v>
      </c>
      <c r="F577" s="342">
        <v>87297.290002822905</v>
      </c>
      <c r="G577" s="342">
        <v>58241.220070600502</v>
      </c>
      <c r="H577" s="342">
        <v>31646.930030107502</v>
      </c>
      <c r="I577" s="342">
        <v>26594.290040493001</v>
      </c>
      <c r="J577" s="342">
        <v>2955.2499713897701</v>
      </c>
      <c r="K577" s="343">
        <f t="shared" si="90"/>
        <v>55285.970099210732</v>
      </c>
      <c r="L577" s="342">
        <v>34171.090028762803</v>
      </c>
      <c r="M577" s="342">
        <v>35</v>
      </c>
      <c r="N577" s="354">
        <v>377</v>
      </c>
      <c r="O577" s="343">
        <f t="shared" si="91"/>
        <v>242.54718833640027</v>
      </c>
      <c r="P577" s="343">
        <f t="shared" si="92"/>
        <v>151.81485404259973</v>
      </c>
      <c r="Q577" s="343">
        <f t="shared" si="93"/>
        <v>154.48599488222945</v>
      </c>
      <c r="R577" s="344">
        <f t="shared" si="94"/>
        <v>0.63693170777129537</v>
      </c>
      <c r="S577" s="344">
        <f t="shared" si="95"/>
        <v>1.0729982814283483</v>
      </c>
      <c r="T577" s="343">
        <f t="shared" si="96"/>
        <v>67807.01999999999</v>
      </c>
      <c r="U577" s="342">
        <v>54517.789999999994</v>
      </c>
      <c r="V577" s="342">
        <v>2249.87</v>
      </c>
      <c r="W577" s="344">
        <f t="shared" si="87"/>
        <v>4.1268547386091772E-2</v>
      </c>
      <c r="X577" s="342">
        <v>1835.39</v>
      </c>
      <c r="Y577" s="344">
        <f t="shared" si="88"/>
        <v>3.3665891445709743E-2</v>
      </c>
      <c r="Z577" s="342">
        <v>144.81</v>
      </c>
      <c r="AA577" s="344">
        <f t="shared" si="81"/>
        <v>2.6561971789392054E-3</v>
      </c>
      <c r="AB577" s="342">
        <v>209.88</v>
      </c>
      <c r="AC577" s="344">
        <f t="shared" si="89"/>
        <v>3.8497525303208368E-3</v>
      </c>
      <c r="AD577" s="342">
        <v>13289.23</v>
      </c>
      <c r="AE577" s="342">
        <v>1771.73</v>
      </c>
      <c r="AF577" s="344">
        <f t="shared" si="82"/>
        <v>0.13332074168330296</v>
      </c>
      <c r="AG577" s="342">
        <v>731.31</v>
      </c>
      <c r="AH577" s="344">
        <f t="shared" si="83"/>
        <v>5.503027639675135E-2</v>
      </c>
      <c r="AI577" s="342">
        <v>506.05</v>
      </c>
      <c r="AJ577" s="344">
        <f t="shared" si="84"/>
        <v>3.8079708154648541E-2</v>
      </c>
      <c r="AK577" s="342">
        <v>7699.54</v>
      </c>
      <c r="AL577" s="784">
        <f t="shared" si="85"/>
        <v>0.57938195064725351</v>
      </c>
      <c r="AM577" s="350">
        <f>IFERROR(T577/(D577+D533+D491)*90,"0.00")</f>
        <v>24.317859617636227</v>
      </c>
      <c r="AN577" s="350">
        <f>IFERROR(U577/(F577+F533+F491)*90,"0.00")</f>
        <v>20.716710801186405</v>
      </c>
      <c r="AO577" s="350">
        <f>IFERROR(AD577/(E577+E533+E491)*90,"0.00")</f>
        <v>84.764755492558464</v>
      </c>
      <c r="AP577" s="639">
        <f t="shared" si="86"/>
        <v>5.1634337035009831E-2</v>
      </c>
    </row>
    <row r="578" spans="1:42" x14ac:dyDescent="0.2">
      <c r="A578" s="638">
        <v>42735</v>
      </c>
      <c r="B578" s="341" t="s">
        <v>137</v>
      </c>
      <c r="C578" s="351" t="s">
        <v>197</v>
      </c>
      <c r="D578" s="342">
        <v>185759.19000412</v>
      </c>
      <c r="E578" s="342">
        <v>9291</v>
      </c>
      <c r="F578" s="342">
        <v>176468.19000412</v>
      </c>
      <c r="G578" s="342">
        <v>131864.36010354001</v>
      </c>
      <c r="H578" s="342">
        <v>76520.510001838207</v>
      </c>
      <c r="I578" s="342">
        <v>55343.850101701901</v>
      </c>
      <c r="J578" s="342">
        <v>7959.8499941769996</v>
      </c>
      <c r="K578" s="343">
        <f t="shared" si="90"/>
        <v>123904.51010936312</v>
      </c>
      <c r="L578" s="342">
        <v>82439.379960656195</v>
      </c>
      <c r="M578" s="342">
        <v>6484.1999930087504</v>
      </c>
      <c r="N578" s="354">
        <v>841</v>
      </c>
      <c r="O578" s="343">
        <f t="shared" si="91"/>
        <v>220.87894174092747</v>
      </c>
      <c r="P578" s="343">
        <f t="shared" si="92"/>
        <v>115.14341266403693</v>
      </c>
      <c r="Q578" s="343">
        <f t="shared" si="93"/>
        <v>156.7947206938646</v>
      </c>
      <c r="R578" s="344">
        <f t="shared" si="94"/>
        <v>0.70986722164656013</v>
      </c>
      <c r="S578" s="344">
        <f t="shared" si="95"/>
        <v>1.4836931917098739</v>
      </c>
      <c r="T578" s="343">
        <f t="shared" si="96"/>
        <v>168863.06</v>
      </c>
      <c r="U578" s="342">
        <v>140137.63</v>
      </c>
      <c r="V578" s="342">
        <v>9935.6200000000008</v>
      </c>
      <c r="W578" s="344">
        <f t="shared" si="87"/>
        <v>7.0899015489272937E-2</v>
      </c>
      <c r="X578" s="342">
        <v>2191.5100000000002</v>
      </c>
      <c r="Y578" s="344">
        <f t="shared" si="88"/>
        <v>1.5638269321380703E-2</v>
      </c>
      <c r="Z578" s="342">
        <v>-120.05</v>
      </c>
      <c r="AA578" s="344">
        <v>0</v>
      </c>
      <c r="AB578" s="342">
        <v>8393.56</v>
      </c>
      <c r="AC578" s="344">
        <f t="shared" si="89"/>
        <v>5.9895118819977181E-2</v>
      </c>
      <c r="AD578" s="342">
        <v>28725.43</v>
      </c>
      <c r="AE578" s="342">
        <v>3874.14</v>
      </c>
      <c r="AF578" s="344">
        <f t="shared" ref="AF578:AF641" si="97">IFERROR(AE578/AD578,"0.00%")</f>
        <v>0.13486795497926402</v>
      </c>
      <c r="AG578" s="342">
        <v>2466.71</v>
      </c>
      <c r="AH578" s="344">
        <f t="shared" ref="AH578:AH641" si="98">IFERROR(AG578/AD578,"0.00%")</f>
        <v>8.5871995649847543E-2</v>
      </c>
      <c r="AI578" s="342">
        <v>1201.67</v>
      </c>
      <c r="AJ578" s="344">
        <f t="shared" ref="AJ578:AJ641" si="99">IFERROR(AI578/AD578,"0.00"%)</f>
        <v>4.1832968209701303E-2</v>
      </c>
      <c r="AK578" s="342">
        <v>14761.96</v>
      </c>
      <c r="AL578" s="784">
        <f t="shared" ref="AL578:AL641" si="100">IFERROR(AK578/AD578,"0.00%")</f>
        <v>0.51389866052483801</v>
      </c>
      <c r="AM578" s="350">
        <f>IFERROR(T578/(D578+D534+D492)*90,"0.00")</f>
        <v>25.794165830866955</v>
      </c>
      <c r="AN578" s="350">
        <f>IFERROR(U578/(F578+F534+F492)*90,"0.00")</f>
        <v>22.523147931488371</v>
      </c>
      <c r="AO578" s="350">
        <f>IFERROR(AD578/(E578+E534+E492)*90,"0.00")</f>
        <v>88.488797234392123</v>
      </c>
      <c r="AP578" s="639">
        <f t="shared" ref="AP578:AP641" si="101">IFERROR(J578/(D578-L578-M578),"0.00%")</f>
        <v>8.2199616339790837E-2</v>
      </c>
    </row>
    <row r="579" spans="1:42" x14ac:dyDescent="0.2">
      <c r="A579" s="638">
        <v>42735</v>
      </c>
      <c r="B579" s="341" t="s">
        <v>137</v>
      </c>
      <c r="C579" s="351" t="s">
        <v>199</v>
      </c>
      <c r="D579" s="342">
        <v>236006.73000553099</v>
      </c>
      <c r="E579" s="342">
        <v>9747</v>
      </c>
      <c r="F579" s="342">
        <v>226259.73000553099</v>
      </c>
      <c r="G579" s="342">
        <v>160828.21002879701</v>
      </c>
      <c r="H579" s="342">
        <v>102914.549986035</v>
      </c>
      <c r="I579" s="342">
        <v>57913.6600427628</v>
      </c>
      <c r="J579" s="342">
        <v>9541.6699776649493</v>
      </c>
      <c r="K579" s="343">
        <f t="shared" si="90"/>
        <v>151286.54005113285</v>
      </c>
      <c r="L579" s="342">
        <v>104116.78010392201</v>
      </c>
      <c r="M579" s="342">
        <v>5482.1299985740297</v>
      </c>
      <c r="N579" s="354">
        <v>1046</v>
      </c>
      <c r="O579" s="343">
        <f t="shared" si="91"/>
        <v>225.62784895366252</v>
      </c>
      <c r="P579" s="343">
        <f t="shared" si="92"/>
        <v>120.84877619793016</v>
      </c>
      <c r="Q579" s="343">
        <f t="shared" si="93"/>
        <v>153.75545891854475</v>
      </c>
      <c r="R579" s="344">
        <f t="shared" si="94"/>
        <v>0.68145603316070125</v>
      </c>
      <c r="S579" s="344">
        <f t="shared" si="95"/>
        <v>1.3761744536934064</v>
      </c>
      <c r="T579" s="343">
        <f t="shared" si="96"/>
        <v>189825.02999999997</v>
      </c>
      <c r="U579" s="342">
        <v>151474.90999999997</v>
      </c>
      <c r="V579" s="342">
        <v>6688.85</v>
      </c>
      <c r="W579" s="344">
        <f t="shared" ref="W579:W642" si="102">IFERROR(V579/U579,"0.00%")</f>
        <v>4.4158138136540244E-2</v>
      </c>
      <c r="X579" s="342">
        <v>2892.05</v>
      </c>
      <c r="Y579" s="344">
        <f t="shared" ref="Y579:Y642" si="103">IFERROR(X579/U579,"0.00%")</f>
        <v>1.9092600880238189E-2</v>
      </c>
      <c r="Z579" s="342">
        <v>2108.8000000000002</v>
      </c>
      <c r="AA579" s="344">
        <f t="shared" ref="AA579:AA642" si="104">IFERROR(Z579/U579,"0.00"%)</f>
        <v>1.3921777540584117E-2</v>
      </c>
      <c r="AB579" s="342">
        <v>201.89</v>
      </c>
      <c r="AC579" s="344">
        <f t="shared" ref="AC579:AC642" si="105">IFERROR(AB579/U579,"0.00%")</f>
        <v>1.332827991117473E-3</v>
      </c>
      <c r="AD579" s="342">
        <v>38350.119999999995</v>
      </c>
      <c r="AE579" s="342">
        <v>3713.57</v>
      </c>
      <c r="AF579" s="344">
        <f t="shared" si="97"/>
        <v>9.6833334550191774E-2</v>
      </c>
      <c r="AG579" s="342">
        <v>3208.6</v>
      </c>
      <c r="AH579" s="344">
        <f t="shared" si="98"/>
        <v>8.366597027597307E-2</v>
      </c>
      <c r="AI579" s="342">
        <v>2105.44</v>
      </c>
      <c r="AJ579" s="344">
        <f t="shared" si="99"/>
        <v>5.4900480102800207E-2</v>
      </c>
      <c r="AK579" s="342">
        <v>18905.169999999998</v>
      </c>
      <c r="AL579" s="784">
        <f t="shared" si="100"/>
        <v>0.49296247312915842</v>
      </c>
      <c r="AM579" s="350">
        <f>IFERROR(T579/(D579+D535+D494)*90,"0.00")</f>
        <v>24.352379679291175</v>
      </c>
      <c r="AN579" s="350">
        <f>IFERROR(U579/(F579+F535+F494)*90,"0.00")</f>
        <v>20.387711382806817</v>
      </c>
      <c r="AO579" s="350">
        <f>IFERROR(AD579/(E579+E535+E494)*90,"0.00")</f>
        <v>105.0080866469926</v>
      </c>
      <c r="AP579" s="639">
        <f t="shared" si="101"/>
        <v>7.548322552342239E-2</v>
      </c>
    </row>
    <row r="580" spans="1:42" x14ac:dyDescent="0.2">
      <c r="A580" s="638">
        <v>42735</v>
      </c>
      <c r="B580" s="341" t="s">
        <v>137</v>
      </c>
      <c r="C580" s="351" t="s">
        <v>201</v>
      </c>
      <c r="D580" s="342">
        <v>243589.14001071599</v>
      </c>
      <c r="E580" s="342">
        <v>7920</v>
      </c>
      <c r="F580" s="342">
        <v>235669.14001071599</v>
      </c>
      <c r="G580" s="342">
        <v>159055.14009171401</v>
      </c>
      <c r="H580" s="342">
        <v>107139.13003652899</v>
      </c>
      <c r="I580" s="342">
        <v>51916.010055184401</v>
      </c>
      <c r="J580" s="342">
        <v>8312.6800362169706</v>
      </c>
      <c r="K580" s="343">
        <f t="shared" si="90"/>
        <v>150742.46005549643</v>
      </c>
      <c r="L580" s="342">
        <v>102705.53010692399</v>
      </c>
      <c r="M580" s="342">
        <v>7960.6899908184996</v>
      </c>
      <c r="N580" s="354">
        <v>1057</v>
      </c>
      <c r="O580" s="343">
        <f t="shared" si="91"/>
        <v>230.45330180767832</v>
      </c>
      <c r="P580" s="343">
        <f t="shared" si="92"/>
        <v>125.7548911191802</v>
      </c>
      <c r="Q580" s="343">
        <f t="shared" si="93"/>
        <v>150.4778998029455</v>
      </c>
      <c r="R580" s="344">
        <f t="shared" si="94"/>
        <v>0.65296482464167427</v>
      </c>
      <c r="S580" s="344">
        <f t="shared" si="95"/>
        <v>1.2764211051116185</v>
      </c>
      <c r="T580" s="343">
        <f t="shared" si="96"/>
        <v>250489.46</v>
      </c>
      <c r="U580" s="342">
        <v>196912.41</v>
      </c>
      <c r="V580" s="342">
        <v>8054.31</v>
      </c>
      <c r="W580" s="344">
        <f t="shared" si="102"/>
        <v>4.0903008601641713E-2</v>
      </c>
      <c r="X580" s="342">
        <v>6325.01</v>
      </c>
      <c r="Y580" s="344">
        <f t="shared" si="103"/>
        <v>3.2120931331854605E-2</v>
      </c>
      <c r="Z580" s="342">
        <v>2365.54</v>
      </c>
      <c r="AA580" s="344">
        <f t="shared" si="104"/>
        <v>1.2013158540896431E-2</v>
      </c>
      <c r="AB580" s="342">
        <v>7401.94</v>
      </c>
      <c r="AC580" s="344">
        <f t="shared" si="105"/>
        <v>3.7590012737135255E-2</v>
      </c>
      <c r="AD580" s="342">
        <v>53577.049999999996</v>
      </c>
      <c r="AE580" s="342">
        <v>4780.1899999999996</v>
      </c>
      <c r="AF580" s="344">
        <f t="shared" si="97"/>
        <v>8.9220851092025405E-2</v>
      </c>
      <c r="AG580" s="342">
        <v>2252.91</v>
      </c>
      <c r="AH580" s="344">
        <f t="shared" si="98"/>
        <v>4.2049907563033055E-2</v>
      </c>
      <c r="AI580" s="342">
        <v>4447.93</v>
      </c>
      <c r="AJ580" s="344">
        <f t="shared" si="99"/>
        <v>8.3019315173194511E-2</v>
      </c>
      <c r="AK580" s="342">
        <v>34131.449999999997</v>
      </c>
      <c r="AL580" s="784">
        <f t="shared" si="100"/>
        <v>0.63705355184729284</v>
      </c>
      <c r="AM580" s="350">
        <f>IFERROR(T580/(D580+D536+D496)*90,"0.00")</f>
        <v>31.268920381428643</v>
      </c>
      <c r="AN580" s="350">
        <f>IFERROR(U580/(F580+F536+F496)*90,"0.00")</f>
        <v>25.486828945089734</v>
      </c>
      <c r="AO580" s="350">
        <f>IFERROR(AD580/(E580+E536+E496)*90,"0.00")</f>
        <v>188.14368488821256</v>
      </c>
      <c r="AP580" s="639">
        <f t="shared" si="101"/>
        <v>6.2537597290665894E-2</v>
      </c>
    </row>
    <row r="581" spans="1:42" x14ac:dyDescent="0.2">
      <c r="A581" s="638">
        <v>42735</v>
      </c>
      <c r="B581" s="341" t="s">
        <v>137</v>
      </c>
      <c r="C581" s="351" t="s">
        <v>203</v>
      </c>
      <c r="D581" s="342">
        <v>186314.45000299299</v>
      </c>
      <c r="E581" s="342">
        <v>9429</v>
      </c>
      <c r="F581" s="342">
        <v>176885.45000299299</v>
      </c>
      <c r="G581" s="342">
        <v>131449.75991637999</v>
      </c>
      <c r="H581" s="342">
        <v>75899.469827726498</v>
      </c>
      <c r="I581" s="342">
        <v>55550.290088653601</v>
      </c>
      <c r="J581" s="342">
        <v>6499.1900075674102</v>
      </c>
      <c r="K581" s="343">
        <f t="shared" si="90"/>
        <v>124950.5699088127</v>
      </c>
      <c r="L581" s="342">
        <v>75524.970142364502</v>
      </c>
      <c r="M581" s="342">
        <v>4225.4000023603403</v>
      </c>
      <c r="N581" s="354">
        <v>931</v>
      </c>
      <c r="O581" s="343">
        <f t="shared" si="91"/>
        <v>200.12293233404188</v>
      </c>
      <c r="P581" s="343">
        <f t="shared" si="92"/>
        <v>114.4619547349819</v>
      </c>
      <c r="Q581" s="343">
        <f t="shared" si="93"/>
        <v>141.19200850309358</v>
      </c>
      <c r="R581" s="344">
        <f t="shared" si="94"/>
        <v>0.70552638249082922</v>
      </c>
      <c r="S581" s="344">
        <f t="shared" si="95"/>
        <v>1.3136451767698576</v>
      </c>
      <c r="T581" s="343">
        <f t="shared" si="96"/>
        <v>161859.98000000001</v>
      </c>
      <c r="U581" s="342">
        <v>135972.22</v>
      </c>
      <c r="V581" s="342">
        <v>2506.64</v>
      </c>
      <c r="W581" s="344">
        <f t="shared" si="102"/>
        <v>1.8434942078609878E-2</v>
      </c>
      <c r="X581" s="342">
        <v>4586.3999999999996</v>
      </c>
      <c r="Y581" s="344">
        <f t="shared" si="103"/>
        <v>3.3730419345951695E-2</v>
      </c>
      <c r="Z581" s="342">
        <v>1027.82</v>
      </c>
      <c r="AA581" s="344">
        <f t="shared" si="104"/>
        <v>7.5590440459087889E-3</v>
      </c>
      <c r="AB581" s="342">
        <v>1249.43</v>
      </c>
      <c r="AC581" s="344">
        <f t="shared" si="105"/>
        <v>9.1888622543634287E-3</v>
      </c>
      <c r="AD581" s="342">
        <v>25887.760000000002</v>
      </c>
      <c r="AE581" s="342">
        <v>3051.1</v>
      </c>
      <c r="AF581" s="344">
        <f t="shared" si="97"/>
        <v>0.11785878731879466</v>
      </c>
      <c r="AG581" s="342">
        <v>1027.2</v>
      </c>
      <c r="AH581" s="344">
        <f t="shared" si="98"/>
        <v>3.9678983426916808E-2</v>
      </c>
      <c r="AI581" s="342">
        <v>1171.28</v>
      </c>
      <c r="AJ581" s="344">
        <f t="shared" si="99"/>
        <v>4.524454800260818E-2</v>
      </c>
      <c r="AK581" s="342">
        <v>15696.72</v>
      </c>
      <c r="AL581" s="784">
        <f t="shared" si="100"/>
        <v>0.60633751239968225</v>
      </c>
      <c r="AM581" s="350">
        <f>IFERROR(T581/(D581+D537+D498)*90,"0.00")</f>
        <v>27.750772678205653</v>
      </c>
      <c r="AN581" s="350">
        <f>IFERROR(U581/(F581+F537+F498)*90,"0.00")</f>
        <v>24.796226280069892</v>
      </c>
      <c r="AO581" s="350">
        <f>IFERROR(AD581/(E581+E537+E498)*90,"0.00")</f>
        <v>74.167517667282112</v>
      </c>
      <c r="AP581" s="639">
        <f t="shared" si="101"/>
        <v>6.0988562151631509E-2</v>
      </c>
    </row>
    <row r="582" spans="1:42" x14ac:dyDescent="0.2">
      <c r="A582" s="638">
        <v>42735</v>
      </c>
      <c r="B582" s="341" t="s">
        <v>137</v>
      </c>
      <c r="C582" s="351" t="s">
        <v>204</v>
      </c>
      <c r="D582" s="342">
        <v>81206.250001430497</v>
      </c>
      <c r="E582" s="342">
        <v>8296</v>
      </c>
      <c r="F582" s="342">
        <v>72910.250001430497</v>
      </c>
      <c r="G582" s="342">
        <v>54201.120045900301</v>
      </c>
      <c r="H582" s="342">
        <v>27302.410002708399</v>
      </c>
      <c r="I582" s="342">
        <v>26898.710043191899</v>
      </c>
      <c r="J582" s="342">
        <v>3031.9000090360601</v>
      </c>
      <c r="K582" s="343">
        <f t="shared" si="90"/>
        <v>51169.220036864244</v>
      </c>
      <c r="L582" s="342">
        <v>31316.599985847199</v>
      </c>
      <c r="M582" s="342">
        <v>629.82999992370605</v>
      </c>
      <c r="N582" s="354">
        <v>397</v>
      </c>
      <c r="O582" s="343">
        <f t="shared" si="91"/>
        <v>204.54974811443449</v>
      </c>
      <c r="P582" s="343">
        <f t="shared" si="92"/>
        <v>124.08015117294607</v>
      </c>
      <c r="Q582" s="343">
        <f t="shared" si="93"/>
        <v>136.52675074534082</v>
      </c>
      <c r="R582" s="344">
        <f t="shared" si="94"/>
        <v>0.66745010445557473</v>
      </c>
      <c r="S582" s="344">
        <f t="shared" si="95"/>
        <v>1.1724758552436356</v>
      </c>
      <c r="T582" s="343">
        <f t="shared" si="96"/>
        <v>66595.600000000006</v>
      </c>
      <c r="U582" s="342">
        <v>51147.860000000008</v>
      </c>
      <c r="V582" s="342">
        <v>1544.01</v>
      </c>
      <c r="W582" s="344">
        <f t="shared" si="102"/>
        <v>3.0187186717098229E-2</v>
      </c>
      <c r="X582" s="342">
        <v>683.97</v>
      </c>
      <c r="Y582" s="344">
        <f t="shared" si="103"/>
        <v>1.3372406978512882E-2</v>
      </c>
      <c r="Z582" s="342">
        <v>142.9</v>
      </c>
      <c r="AA582" s="344">
        <f t="shared" si="104"/>
        <v>2.7938607793170618E-3</v>
      </c>
      <c r="AB582" s="342">
        <v>1508.74</v>
      </c>
      <c r="AC582" s="344">
        <f t="shared" si="105"/>
        <v>2.9497617300117733E-2</v>
      </c>
      <c r="AD582" s="342">
        <v>15447.740000000002</v>
      </c>
      <c r="AE582" s="342">
        <v>1042.81</v>
      </c>
      <c r="AF582" s="344">
        <f t="shared" si="97"/>
        <v>6.750566749569839E-2</v>
      </c>
      <c r="AG582" s="342">
        <v>1348.62</v>
      </c>
      <c r="AH582" s="344">
        <f t="shared" si="98"/>
        <v>8.7302090791274309E-2</v>
      </c>
      <c r="AI582" s="342">
        <v>1300.0899999999999</v>
      </c>
      <c r="AJ582" s="344">
        <f t="shared" si="99"/>
        <v>8.4160530925559321E-2</v>
      </c>
      <c r="AK582" s="342">
        <v>8742.2000000000007</v>
      </c>
      <c r="AL582" s="784">
        <f t="shared" si="100"/>
        <v>0.56592096966934968</v>
      </c>
      <c r="AM582" s="350">
        <f>IFERROR(T582/(D582+D538+D499)*90,"0.00")</f>
        <v>25.266299051138279</v>
      </c>
      <c r="AN582" s="350">
        <f>IFERROR(U582/(F582+F538+F499)*90,"0.00")</f>
        <v>20.961919839334225</v>
      </c>
      <c r="AO582" s="350">
        <f>IFERROR(AD582/(E582+E538+E499)*90,"0.00")</f>
        <v>78.931338707846038</v>
      </c>
      <c r="AP582" s="639">
        <f t="shared" si="101"/>
        <v>6.1549149145738363E-2</v>
      </c>
    </row>
    <row r="583" spans="1:42" x14ac:dyDescent="0.2">
      <c r="A583" s="638">
        <v>42735</v>
      </c>
      <c r="B583" s="341" t="s">
        <v>137</v>
      </c>
      <c r="C583" s="351" t="s">
        <v>206</v>
      </c>
      <c r="D583" s="342">
        <v>168316.07000717</v>
      </c>
      <c r="E583" s="342">
        <v>7682</v>
      </c>
      <c r="F583" s="342">
        <v>160634.07000717</v>
      </c>
      <c r="G583" s="342">
        <v>111287.730154613</v>
      </c>
      <c r="H583" s="342">
        <v>63589.230075219602</v>
      </c>
      <c r="I583" s="342">
        <v>47698.500079393401</v>
      </c>
      <c r="J583" s="342">
        <v>6086.1700162887601</v>
      </c>
      <c r="K583" s="343">
        <f t="shared" si="90"/>
        <v>105201.56013832425</v>
      </c>
      <c r="L583" s="342">
        <v>68139.180002212495</v>
      </c>
      <c r="M583" s="342">
        <v>6453.6200054064402</v>
      </c>
      <c r="N583" s="354">
        <v>734</v>
      </c>
      <c r="O583" s="343">
        <f t="shared" si="91"/>
        <v>229.31344687625341</v>
      </c>
      <c r="P583" s="343">
        <f t="shared" si="92"/>
        <v>127.68837874598238</v>
      </c>
      <c r="Q583" s="343">
        <f t="shared" si="93"/>
        <v>151.61816097358721</v>
      </c>
      <c r="R583" s="344">
        <f t="shared" si="94"/>
        <v>0.66118303587929739</v>
      </c>
      <c r="S583" s="344">
        <f t="shared" si="95"/>
        <v>1.2698700684512347</v>
      </c>
      <c r="T583" s="343">
        <f t="shared" si="96"/>
        <v>170604.02000000002</v>
      </c>
      <c r="U583" s="342">
        <v>137981.07</v>
      </c>
      <c r="V583" s="342">
        <v>7125.99</v>
      </c>
      <c r="W583" s="344">
        <f t="shared" si="102"/>
        <v>5.1644693000278949E-2</v>
      </c>
      <c r="X583" s="342">
        <v>6247.22</v>
      </c>
      <c r="Y583" s="344">
        <f t="shared" si="103"/>
        <v>4.5275920820153082E-2</v>
      </c>
      <c r="Z583" s="342">
        <v>1021.07</v>
      </c>
      <c r="AA583" s="344">
        <f t="shared" si="104"/>
        <v>7.4000730679940376E-3</v>
      </c>
      <c r="AB583" s="342">
        <v>5665.81</v>
      </c>
      <c r="AC583" s="344">
        <f t="shared" si="105"/>
        <v>4.1062226869236482E-2</v>
      </c>
      <c r="AD583" s="342">
        <v>32622.950000000004</v>
      </c>
      <c r="AE583" s="342">
        <v>2709.98</v>
      </c>
      <c r="AF583" s="344">
        <f t="shared" si="97"/>
        <v>8.3069740780646745E-2</v>
      </c>
      <c r="AG583" s="342">
        <v>2564.77</v>
      </c>
      <c r="AH583" s="344">
        <f t="shared" si="98"/>
        <v>7.8618579864788429E-2</v>
      </c>
      <c r="AI583" s="342">
        <v>1816.41</v>
      </c>
      <c r="AJ583" s="344">
        <f t="shared" si="99"/>
        <v>5.5678900896454789E-2</v>
      </c>
      <c r="AK583" s="342">
        <v>19234.330000000002</v>
      </c>
      <c r="AL583" s="784">
        <f t="shared" si="100"/>
        <v>0.58959505501495113</v>
      </c>
      <c r="AM583" s="350">
        <f>IFERROR(T583/(D583+D539+D501)*90,"0.00")</f>
        <v>30.649074982361519</v>
      </c>
      <c r="AN583" s="350">
        <f>IFERROR(U583/(F583+F539+F501)*90,"0.00")</f>
        <v>26.194290341234556</v>
      </c>
      <c r="AO583" s="350">
        <f>IFERROR(AD583/(E583+E539+E501)*90,"0.00")</f>
        <v>109.19206738815132</v>
      </c>
      <c r="AP583" s="639">
        <f t="shared" si="101"/>
        <v>6.4937661866875884E-2</v>
      </c>
    </row>
    <row r="584" spans="1:42" x14ac:dyDescent="0.2">
      <c r="A584" s="638">
        <v>42735</v>
      </c>
      <c r="B584" s="341" t="s">
        <v>137</v>
      </c>
      <c r="C584" s="351" t="s">
        <v>208</v>
      </c>
      <c r="D584" s="342">
        <v>144280.61000371899</v>
      </c>
      <c r="E584" s="342">
        <v>8049</v>
      </c>
      <c r="F584" s="342">
        <v>136231.61000371899</v>
      </c>
      <c r="G584" s="342">
        <v>92770.460003376007</v>
      </c>
      <c r="H584" s="342">
        <v>55447.169965982401</v>
      </c>
      <c r="I584" s="342">
        <v>37323.290037393599</v>
      </c>
      <c r="J584" s="342">
        <v>3651.4200048446701</v>
      </c>
      <c r="K584" s="343">
        <f t="shared" si="90"/>
        <v>89119.039998531342</v>
      </c>
      <c r="L584" s="342">
        <v>63980.380122363596</v>
      </c>
      <c r="M584" s="342">
        <v>4107.2399996519098</v>
      </c>
      <c r="N584" s="354">
        <v>674</v>
      </c>
      <c r="O584" s="343">
        <f t="shared" si="91"/>
        <v>214.06618694913797</v>
      </c>
      <c r="P584" s="343">
        <f t="shared" si="92"/>
        <v>113.04597905297253</v>
      </c>
      <c r="Q584" s="343">
        <f t="shared" si="93"/>
        <v>137.64163205248667</v>
      </c>
      <c r="R584" s="344">
        <f t="shared" si="94"/>
        <v>0.64298633060246102</v>
      </c>
      <c r="S584" s="344">
        <f t="shared" si="95"/>
        <v>1.2788592824894229</v>
      </c>
      <c r="T584" s="343">
        <f t="shared" si="96"/>
        <v>138173.12</v>
      </c>
      <c r="U584" s="342">
        <v>103789.19</v>
      </c>
      <c r="V584" s="342">
        <v>3643.96</v>
      </c>
      <c r="W584" s="344">
        <f t="shared" si="102"/>
        <v>3.5109244035915491E-2</v>
      </c>
      <c r="X584" s="342">
        <v>959.01</v>
      </c>
      <c r="Y584" s="344">
        <f t="shared" si="103"/>
        <v>9.2399796163743064E-3</v>
      </c>
      <c r="Z584" s="342">
        <v>1679.28</v>
      </c>
      <c r="AA584" s="344">
        <f t="shared" si="104"/>
        <v>1.6179719679862613E-2</v>
      </c>
      <c r="AB584" s="342">
        <v>7043.01</v>
      </c>
      <c r="AC584" s="344">
        <f t="shared" si="105"/>
        <v>6.7858801094796098E-2</v>
      </c>
      <c r="AD584" s="342">
        <v>34383.93</v>
      </c>
      <c r="AE584" s="342">
        <v>3942.04</v>
      </c>
      <c r="AF584" s="344">
        <f t="shared" si="97"/>
        <v>0.1146477438733734</v>
      </c>
      <c r="AG584" s="342">
        <v>1764.64</v>
      </c>
      <c r="AH584" s="344">
        <f t="shared" si="98"/>
        <v>5.1321649386792033E-2</v>
      </c>
      <c r="AI584" s="342">
        <v>1996.02</v>
      </c>
      <c r="AJ584" s="344">
        <f t="shared" si="99"/>
        <v>5.8050955780796436E-2</v>
      </c>
      <c r="AK584" s="342">
        <v>20291.75</v>
      </c>
      <c r="AL584" s="784">
        <f t="shared" si="100"/>
        <v>0.59015214374854763</v>
      </c>
      <c r="AM584" s="350">
        <f>IFERROR(T584/(D584+D540+D503)*90,"0.00")</f>
        <v>29.26430777703666</v>
      </c>
      <c r="AN584" s="350">
        <f>IFERROR(U584/(F584+F540+F503)*90,"0.00")</f>
        <v>23.274238300275723</v>
      </c>
      <c r="AO584" s="350">
        <f>IFERROR(AD584/(E584+E540+E503)*90,"0.00")</f>
        <v>131.1585021615665</v>
      </c>
      <c r="AP584" s="639">
        <f t="shared" si="101"/>
        <v>4.7923306468401233E-2</v>
      </c>
    </row>
    <row r="585" spans="1:42" x14ac:dyDescent="0.2">
      <c r="A585" s="638">
        <v>42735</v>
      </c>
      <c r="B585" s="341" t="s">
        <v>133</v>
      </c>
      <c r="C585" s="351" t="s">
        <v>161</v>
      </c>
      <c r="D585" s="342">
        <v>0</v>
      </c>
      <c r="E585" s="342">
        <v>0</v>
      </c>
      <c r="F585" s="342">
        <v>0</v>
      </c>
      <c r="G585" s="342">
        <v>0</v>
      </c>
      <c r="H585" s="342">
        <v>0</v>
      </c>
      <c r="I585" s="342">
        <v>0</v>
      </c>
      <c r="J585" s="342">
        <v>0</v>
      </c>
      <c r="K585" s="343">
        <f t="shared" si="90"/>
        <v>0</v>
      </c>
      <c r="L585" s="342">
        <v>0</v>
      </c>
      <c r="M585" s="342">
        <v>0</v>
      </c>
      <c r="N585" s="354">
        <v>0</v>
      </c>
      <c r="O585" s="343" t="str">
        <f t="shared" si="91"/>
        <v>$0.00</v>
      </c>
      <c r="P585" s="343" t="str">
        <f t="shared" si="92"/>
        <v>$0.00</v>
      </c>
      <c r="Q585" s="343" t="str">
        <f t="shared" si="93"/>
        <v>$0.00</v>
      </c>
      <c r="R585" s="344" t="str">
        <f t="shared" si="94"/>
        <v>0.00%</v>
      </c>
      <c r="S585" s="344" t="str">
        <f t="shared" si="95"/>
        <v>0.00%</v>
      </c>
      <c r="T585" s="343">
        <f t="shared" si="96"/>
        <v>-177.68</v>
      </c>
      <c r="U585" s="342">
        <v>-177.68</v>
      </c>
      <c r="V585" s="342">
        <v>0</v>
      </c>
      <c r="W585" s="344">
        <v>0</v>
      </c>
      <c r="X585" s="342">
        <v>0</v>
      </c>
      <c r="Y585" s="344">
        <f t="shared" si="103"/>
        <v>0</v>
      </c>
      <c r="Z585" s="342">
        <v>0</v>
      </c>
      <c r="AA585" s="344">
        <f t="shared" si="104"/>
        <v>0</v>
      </c>
      <c r="AB585" s="342">
        <v>-177.68</v>
      </c>
      <c r="AC585" s="344">
        <v>0</v>
      </c>
      <c r="AD585" s="342">
        <v>0</v>
      </c>
      <c r="AE585" s="342">
        <v>0</v>
      </c>
      <c r="AF585" s="344" t="str">
        <f t="shared" si="97"/>
        <v>0.00%</v>
      </c>
      <c r="AG585" s="342">
        <v>0</v>
      </c>
      <c r="AH585" s="344" t="str">
        <f t="shared" si="98"/>
        <v>0.00%</v>
      </c>
      <c r="AI585" s="342">
        <v>0</v>
      </c>
      <c r="AJ585" s="344">
        <f t="shared" si="99"/>
        <v>0</v>
      </c>
      <c r="AK585" s="342">
        <v>0</v>
      </c>
      <c r="AL585" s="784" t="str">
        <f t="shared" si="100"/>
        <v>0.00%</v>
      </c>
      <c r="AM585" s="350" t="str">
        <f>IFERROR(T585/(D585+D541+D454)*90,"0.00")</f>
        <v>0.00</v>
      </c>
      <c r="AN585" s="350" t="str">
        <f>IFERROR(U585/(F585+F541+F454)*90,"0.00")</f>
        <v>0.00</v>
      </c>
      <c r="AO585" s="350" t="str">
        <f>IFERROR(AD585/(E585+E541+E454)*90,"0.00")</f>
        <v>0.00</v>
      </c>
      <c r="AP585" s="639" t="str">
        <f t="shared" si="101"/>
        <v>0.00%</v>
      </c>
    </row>
    <row r="586" spans="1:42" x14ac:dyDescent="0.2">
      <c r="A586" s="638">
        <v>42735</v>
      </c>
      <c r="B586" s="341" t="s">
        <v>135</v>
      </c>
      <c r="C586" s="351" t="s">
        <v>182</v>
      </c>
      <c r="D586" s="342">
        <v>0</v>
      </c>
      <c r="E586" s="342">
        <v>0</v>
      </c>
      <c r="F586" s="342">
        <v>0</v>
      </c>
      <c r="G586" s="342">
        <v>0</v>
      </c>
      <c r="H586" s="342">
        <v>0</v>
      </c>
      <c r="I586" s="342">
        <v>0</v>
      </c>
      <c r="J586" s="342">
        <v>0</v>
      </c>
      <c r="K586" s="343">
        <f t="shared" si="90"/>
        <v>0</v>
      </c>
      <c r="L586" s="342">
        <v>0</v>
      </c>
      <c r="M586" s="342">
        <v>-25</v>
      </c>
      <c r="N586" s="354">
        <v>0</v>
      </c>
      <c r="O586" s="343" t="str">
        <f t="shared" si="91"/>
        <v>$0.00</v>
      </c>
      <c r="P586" s="343" t="str">
        <f t="shared" si="92"/>
        <v>$0.00</v>
      </c>
      <c r="Q586" s="343" t="str">
        <f t="shared" si="93"/>
        <v>$0.00</v>
      </c>
      <c r="R586" s="344" t="str">
        <f t="shared" si="94"/>
        <v>0.00%</v>
      </c>
      <c r="S586" s="344">
        <f t="shared" si="95"/>
        <v>0</v>
      </c>
      <c r="T586" s="343">
        <f t="shared" si="96"/>
        <v>-285.58</v>
      </c>
      <c r="U586" s="342">
        <v>-285.58</v>
      </c>
      <c r="V586" s="342">
        <v>0</v>
      </c>
      <c r="W586" s="344">
        <v>0</v>
      </c>
      <c r="X586" s="342">
        <v>0</v>
      </c>
      <c r="Y586" s="344">
        <f t="shared" si="103"/>
        <v>0</v>
      </c>
      <c r="Z586" s="342">
        <v>0</v>
      </c>
      <c r="AA586" s="344">
        <f t="shared" si="104"/>
        <v>0</v>
      </c>
      <c r="AB586" s="342">
        <v>-285.58</v>
      </c>
      <c r="AC586" s="344">
        <v>0</v>
      </c>
      <c r="AD586" s="342">
        <v>0</v>
      </c>
      <c r="AE586" s="342">
        <v>0</v>
      </c>
      <c r="AF586" s="344" t="str">
        <f t="shared" si="97"/>
        <v>0.00%</v>
      </c>
      <c r="AG586" s="342">
        <v>0</v>
      </c>
      <c r="AH586" s="344" t="str">
        <f t="shared" si="98"/>
        <v>0.00%</v>
      </c>
      <c r="AI586" s="342">
        <v>0</v>
      </c>
      <c r="AJ586" s="344">
        <f t="shared" si="99"/>
        <v>0</v>
      </c>
      <c r="AK586" s="342">
        <v>0</v>
      </c>
      <c r="AL586" s="784" t="str">
        <f t="shared" si="100"/>
        <v>0.00%</v>
      </c>
      <c r="AM586" s="350" t="str">
        <f>IFERROR(T586/(D586+D542+D474)*90,"0.00")</f>
        <v>0.00</v>
      </c>
      <c r="AN586" s="350" t="str">
        <f>IFERROR(U586/(F586+F542+F474)*90,"0.00")</f>
        <v>0.00</v>
      </c>
      <c r="AO586" s="350" t="str">
        <f>IFERROR(AD586/(E586+E542+E474)*90,"0.00")</f>
        <v>0.00</v>
      </c>
      <c r="AP586" s="639">
        <f t="shared" si="101"/>
        <v>0</v>
      </c>
    </row>
    <row r="587" spans="1:42" x14ac:dyDescent="0.2">
      <c r="A587" s="638">
        <v>42735</v>
      </c>
      <c r="B587" s="341" t="s">
        <v>135</v>
      </c>
      <c r="C587" s="351" t="s">
        <v>184</v>
      </c>
      <c r="D587" s="342">
        <v>0</v>
      </c>
      <c r="E587" s="342">
        <v>0</v>
      </c>
      <c r="F587" s="342">
        <v>0</v>
      </c>
      <c r="G587" s="342">
        <v>0</v>
      </c>
      <c r="H587" s="342">
        <v>0</v>
      </c>
      <c r="I587" s="342">
        <v>0</v>
      </c>
      <c r="J587" s="342">
        <v>0</v>
      </c>
      <c r="K587" s="343">
        <f t="shared" si="90"/>
        <v>0</v>
      </c>
      <c r="L587" s="342">
        <v>0</v>
      </c>
      <c r="M587" s="342">
        <v>-277.55000019073498</v>
      </c>
      <c r="N587" s="354">
        <v>0</v>
      </c>
      <c r="O587" s="343" t="str">
        <f t="shared" si="91"/>
        <v>$0.00</v>
      </c>
      <c r="P587" s="343" t="str">
        <f t="shared" si="92"/>
        <v>$0.00</v>
      </c>
      <c r="Q587" s="343" t="str">
        <f t="shared" si="93"/>
        <v>$0.00</v>
      </c>
      <c r="R587" s="344" t="str">
        <f t="shared" si="94"/>
        <v>0.00%</v>
      </c>
      <c r="S587" s="344">
        <f t="shared" si="95"/>
        <v>0</v>
      </c>
      <c r="T587" s="343">
        <f t="shared" si="96"/>
        <v>-167</v>
      </c>
      <c r="U587" s="342">
        <v>-167</v>
      </c>
      <c r="V587" s="342">
        <v>0</v>
      </c>
      <c r="W587" s="344">
        <v>0</v>
      </c>
      <c r="X587" s="342">
        <v>0</v>
      </c>
      <c r="Y587" s="344">
        <f t="shared" si="103"/>
        <v>0</v>
      </c>
      <c r="Z587" s="342">
        <v>0</v>
      </c>
      <c r="AA587" s="344">
        <f t="shared" si="104"/>
        <v>0</v>
      </c>
      <c r="AB587" s="342">
        <v>-167</v>
      </c>
      <c r="AC587" s="344">
        <v>0</v>
      </c>
      <c r="AD587" s="342">
        <v>0</v>
      </c>
      <c r="AE587" s="342">
        <v>0</v>
      </c>
      <c r="AF587" s="344" t="str">
        <f t="shared" si="97"/>
        <v>0.00%</v>
      </c>
      <c r="AG587" s="342">
        <v>0</v>
      </c>
      <c r="AH587" s="344" t="str">
        <f t="shared" si="98"/>
        <v>0.00%</v>
      </c>
      <c r="AI587" s="342">
        <v>0</v>
      </c>
      <c r="AJ587" s="344">
        <f t="shared" si="99"/>
        <v>0</v>
      </c>
      <c r="AK587" s="342">
        <v>0</v>
      </c>
      <c r="AL587" s="784" t="str">
        <f t="shared" si="100"/>
        <v>0.00%</v>
      </c>
      <c r="AM587" s="350" t="str">
        <f>IFERROR(T587/(D587+D543+D476)*90,"0.00")</f>
        <v>0.00</v>
      </c>
      <c r="AN587" s="350" t="str">
        <f>IFERROR(U587/(F587+F543+F476)*90,"0.00")</f>
        <v>0.00</v>
      </c>
      <c r="AO587" s="350" t="str">
        <f>IFERROR(AD587/(E587+E543+E476)*90,"0.00")</f>
        <v>0.00</v>
      </c>
      <c r="AP587" s="639">
        <f t="shared" si="101"/>
        <v>0</v>
      </c>
    </row>
    <row r="588" spans="1:42" x14ac:dyDescent="0.2">
      <c r="A588" s="638">
        <v>42735</v>
      </c>
      <c r="B588" s="341" t="s">
        <v>137</v>
      </c>
      <c r="C588" s="351" t="s">
        <v>205</v>
      </c>
      <c r="D588" s="342">
        <v>0</v>
      </c>
      <c r="E588" s="342">
        <v>0</v>
      </c>
      <c r="F588" s="342">
        <v>0</v>
      </c>
      <c r="G588" s="342">
        <v>0</v>
      </c>
      <c r="H588" s="342">
        <v>0</v>
      </c>
      <c r="I588" s="342">
        <v>0</v>
      </c>
      <c r="J588" s="342">
        <v>0</v>
      </c>
      <c r="K588" s="343">
        <f t="shared" si="90"/>
        <v>0</v>
      </c>
      <c r="L588" s="342">
        <v>0</v>
      </c>
      <c r="M588" s="342">
        <v>3.5399999618529998</v>
      </c>
      <c r="N588" s="354">
        <v>0</v>
      </c>
      <c r="O588" s="343" t="str">
        <f t="shared" si="91"/>
        <v>$0.00</v>
      </c>
      <c r="P588" s="343" t="str">
        <f t="shared" si="92"/>
        <v>$0.00</v>
      </c>
      <c r="Q588" s="343" t="str">
        <f t="shared" si="93"/>
        <v>$0.00</v>
      </c>
      <c r="R588" s="344" t="str">
        <f t="shared" si="94"/>
        <v>0.00%</v>
      </c>
      <c r="S588" s="344">
        <f t="shared" si="95"/>
        <v>0</v>
      </c>
      <c r="T588" s="343">
        <f t="shared" si="96"/>
        <v>-8.66</v>
      </c>
      <c r="U588" s="342">
        <v>0</v>
      </c>
      <c r="V588" s="342">
        <v>0</v>
      </c>
      <c r="W588" s="344" t="str">
        <f t="shared" si="102"/>
        <v>0.00%</v>
      </c>
      <c r="X588" s="342">
        <v>0</v>
      </c>
      <c r="Y588" s="344" t="str">
        <f t="shared" si="103"/>
        <v>0.00%</v>
      </c>
      <c r="Z588" s="342">
        <v>0</v>
      </c>
      <c r="AA588" s="344">
        <f t="shared" si="104"/>
        <v>0</v>
      </c>
      <c r="AB588" s="342">
        <v>0</v>
      </c>
      <c r="AC588" s="344" t="str">
        <f t="shared" si="105"/>
        <v>0.00%</v>
      </c>
      <c r="AD588" s="342">
        <v>-8.66</v>
      </c>
      <c r="AE588" s="342">
        <v>0</v>
      </c>
      <c r="AF588" s="344">
        <f t="shared" si="97"/>
        <v>0</v>
      </c>
      <c r="AG588" s="342">
        <v>0</v>
      </c>
      <c r="AH588" s="344">
        <f t="shared" si="98"/>
        <v>0</v>
      </c>
      <c r="AI588" s="342">
        <v>0</v>
      </c>
      <c r="AJ588" s="344">
        <f t="shared" si="99"/>
        <v>0</v>
      </c>
      <c r="AK588" s="342">
        <v>-8.66</v>
      </c>
      <c r="AL588" s="784">
        <f t="shared" si="100"/>
        <v>1</v>
      </c>
      <c r="AM588" s="350">
        <v>0</v>
      </c>
      <c r="AN588" s="350">
        <v>0</v>
      </c>
      <c r="AO588" s="350">
        <v>0</v>
      </c>
      <c r="AP588" s="639">
        <f t="shared" si="101"/>
        <v>0</v>
      </c>
    </row>
    <row r="589" spans="1:42" x14ac:dyDescent="0.2">
      <c r="A589" s="638">
        <v>42735</v>
      </c>
      <c r="B589" s="341" t="s">
        <v>133</v>
      </c>
      <c r="C589" s="351" t="s">
        <v>167</v>
      </c>
      <c r="D589" s="342">
        <v>0</v>
      </c>
      <c r="E589" s="342">
        <v>0</v>
      </c>
      <c r="F589" s="342">
        <v>0</v>
      </c>
      <c r="G589" s="342">
        <v>0</v>
      </c>
      <c r="H589" s="342">
        <v>0</v>
      </c>
      <c r="I589" s="342">
        <v>0</v>
      </c>
      <c r="J589" s="342">
        <v>35</v>
      </c>
      <c r="K589" s="343">
        <f t="shared" si="90"/>
        <v>-35</v>
      </c>
      <c r="L589" s="342">
        <v>0</v>
      </c>
      <c r="M589" s="342">
        <v>90</v>
      </c>
      <c r="N589" s="354">
        <v>0</v>
      </c>
      <c r="O589" s="343" t="str">
        <f t="shared" si="91"/>
        <v>$0.00</v>
      </c>
      <c r="P589" s="343" t="str">
        <f t="shared" si="92"/>
        <v>$0.00</v>
      </c>
      <c r="Q589" s="343" t="str">
        <f t="shared" si="93"/>
        <v>$0.00</v>
      </c>
      <c r="R589" s="344" t="str">
        <f t="shared" si="94"/>
        <v>0.00%</v>
      </c>
      <c r="S589" s="344">
        <f t="shared" si="95"/>
        <v>0</v>
      </c>
      <c r="T589" s="343">
        <f t="shared" si="96"/>
        <v>-293.58999999999997</v>
      </c>
      <c r="U589" s="342">
        <v>-258.58999999999997</v>
      </c>
      <c r="V589" s="342">
        <v>0</v>
      </c>
      <c r="W589" s="344">
        <v>0</v>
      </c>
      <c r="X589" s="342">
        <v>0</v>
      </c>
      <c r="Y589" s="344">
        <f t="shared" si="103"/>
        <v>0</v>
      </c>
      <c r="Z589" s="342">
        <v>0</v>
      </c>
      <c r="AA589" s="344">
        <f t="shared" si="104"/>
        <v>0</v>
      </c>
      <c r="AB589" s="342">
        <v>-258.58999999999997</v>
      </c>
      <c r="AC589" s="344">
        <v>0</v>
      </c>
      <c r="AD589" s="342">
        <v>-35</v>
      </c>
      <c r="AE589" s="342">
        <v>0</v>
      </c>
      <c r="AF589" s="344">
        <f t="shared" si="97"/>
        <v>0</v>
      </c>
      <c r="AG589" s="342">
        <v>0</v>
      </c>
      <c r="AH589" s="344">
        <f t="shared" si="98"/>
        <v>0</v>
      </c>
      <c r="AI589" s="342">
        <v>0</v>
      </c>
      <c r="AJ589" s="344">
        <f t="shared" si="99"/>
        <v>0</v>
      </c>
      <c r="AK589" s="342">
        <v>-35</v>
      </c>
      <c r="AL589" s="784">
        <f t="shared" si="100"/>
        <v>1</v>
      </c>
      <c r="AM589" s="350" t="str">
        <f>IFERROR(T589/(D589+D545+D506)*90,"0.00")</f>
        <v>0.00</v>
      </c>
      <c r="AN589" s="350" t="str">
        <f>IFERROR(U589/(F589+F545+F506)*90,"0.00")</f>
        <v>0.00</v>
      </c>
      <c r="AO589" s="350" t="str">
        <f>IFERROR(AD589/(E589+E545+E506)*90,"0.00")</f>
        <v>0.00</v>
      </c>
      <c r="AP589" s="639">
        <f t="shared" si="101"/>
        <v>-0.3888888888888889</v>
      </c>
    </row>
    <row r="590" spans="1:42" x14ac:dyDescent="0.2">
      <c r="A590" s="638">
        <v>42735</v>
      </c>
      <c r="B590" s="341" t="s">
        <v>133</v>
      </c>
      <c r="C590" s="351" t="s">
        <v>175</v>
      </c>
      <c r="D590" s="342">
        <v>0</v>
      </c>
      <c r="E590" s="342">
        <v>0</v>
      </c>
      <c r="F590" s="342">
        <v>0</v>
      </c>
      <c r="G590" s="342">
        <v>0</v>
      </c>
      <c r="H590" s="342">
        <v>0</v>
      </c>
      <c r="I590" s="342">
        <v>0</v>
      </c>
      <c r="J590" s="342">
        <v>0</v>
      </c>
      <c r="K590" s="343">
        <f t="shared" si="90"/>
        <v>0</v>
      </c>
      <c r="L590" s="342">
        <v>0</v>
      </c>
      <c r="M590" s="342">
        <v>30</v>
      </c>
      <c r="N590" s="354">
        <v>0</v>
      </c>
      <c r="O590" s="343" t="str">
        <f t="shared" si="91"/>
        <v>$0.00</v>
      </c>
      <c r="P590" s="343" t="str">
        <f t="shared" si="92"/>
        <v>$0.00</v>
      </c>
      <c r="Q590" s="343" t="str">
        <f t="shared" si="93"/>
        <v>$0.00</v>
      </c>
      <c r="R590" s="344" t="str">
        <f t="shared" si="94"/>
        <v>0.00%</v>
      </c>
      <c r="S590" s="344">
        <f t="shared" si="95"/>
        <v>0</v>
      </c>
      <c r="T590" s="343">
        <f t="shared" si="96"/>
        <v>-19</v>
      </c>
      <c r="U590" s="342">
        <v>1</v>
      </c>
      <c r="V590" s="342">
        <v>0</v>
      </c>
      <c r="W590" s="344">
        <f t="shared" si="102"/>
        <v>0</v>
      </c>
      <c r="X590" s="342">
        <v>0</v>
      </c>
      <c r="Y590" s="344">
        <f t="shared" si="103"/>
        <v>0</v>
      </c>
      <c r="Z590" s="342">
        <v>0</v>
      </c>
      <c r="AA590" s="344">
        <f t="shared" si="104"/>
        <v>0</v>
      </c>
      <c r="AB590" s="342">
        <v>-245</v>
      </c>
      <c r="AC590" s="344">
        <v>0</v>
      </c>
      <c r="AD590" s="342">
        <v>-20</v>
      </c>
      <c r="AE590" s="342">
        <v>0</v>
      </c>
      <c r="AF590" s="344">
        <f t="shared" si="97"/>
        <v>0</v>
      </c>
      <c r="AG590" s="342">
        <v>0</v>
      </c>
      <c r="AH590" s="344">
        <f t="shared" si="98"/>
        <v>0</v>
      </c>
      <c r="AI590" s="342">
        <v>0</v>
      </c>
      <c r="AJ590" s="344">
        <f t="shared" si="99"/>
        <v>0</v>
      </c>
      <c r="AK590" s="342">
        <v>-20</v>
      </c>
      <c r="AL590" s="784">
        <f t="shared" si="100"/>
        <v>1</v>
      </c>
      <c r="AM590" s="350" t="str">
        <f>IFERROR(T590/(D590+D546+D468)*90,"0.00")</f>
        <v>0.00</v>
      </c>
      <c r="AN590" s="350" t="str">
        <f>IFERROR(U590/(F590+F546+F468)*90,"0.00")</f>
        <v>0.00</v>
      </c>
      <c r="AO590" s="350" t="str">
        <f>IFERROR(AD590/(E590+E546+E468)*90,"0.00")</f>
        <v>0.00</v>
      </c>
      <c r="AP590" s="639">
        <f t="shared" si="101"/>
        <v>0</v>
      </c>
    </row>
    <row r="591" spans="1:42" x14ac:dyDescent="0.2">
      <c r="A591" s="638">
        <v>42735</v>
      </c>
      <c r="B591" s="341" t="s">
        <v>134</v>
      </c>
      <c r="C591" s="351" t="s">
        <v>178</v>
      </c>
      <c r="D591" s="342">
        <v>346319.17039264401</v>
      </c>
      <c r="E591" s="342">
        <v>13983.8100013733</v>
      </c>
      <c r="F591" s="342">
        <v>332335.36039127002</v>
      </c>
      <c r="G591" s="342">
        <v>229009.10972931999</v>
      </c>
      <c r="H591" s="342">
        <v>141729.759737343</v>
      </c>
      <c r="I591" s="342">
        <v>87279.3499919772</v>
      </c>
      <c r="J591" s="342">
        <v>21369.860087193501</v>
      </c>
      <c r="K591" s="343">
        <f t="shared" si="90"/>
        <v>207639.24964212673</v>
      </c>
      <c r="L591" s="342">
        <v>134484.88012036699</v>
      </c>
      <c r="M591" s="342">
        <v>9807.8099920749701</v>
      </c>
      <c r="N591" s="354">
        <v>1562</v>
      </c>
      <c r="O591" s="343">
        <f t="shared" si="91"/>
        <v>221.71521792102644</v>
      </c>
      <c r="P591" s="343">
        <f t="shared" si="92"/>
        <v>129.33833564673583</v>
      </c>
      <c r="Q591" s="343">
        <f t="shared" si="93"/>
        <v>146.61274630558273</v>
      </c>
      <c r="R591" s="344">
        <f t="shared" si="94"/>
        <v>0.66126604966649272</v>
      </c>
      <c r="S591" s="344">
        <f t="shared" si="95"/>
        <v>1.2676485892664995</v>
      </c>
      <c r="T591" s="343">
        <f t="shared" si="96"/>
        <v>374127.74999999994</v>
      </c>
      <c r="U591" s="342">
        <v>287009.17999999993</v>
      </c>
      <c r="V591" s="342">
        <v>8721.7000000000007</v>
      </c>
      <c r="W591" s="344">
        <f t="shared" si="102"/>
        <v>3.0388226606549669E-2</v>
      </c>
      <c r="X591" s="342">
        <v>11432.18</v>
      </c>
      <c r="Y591" s="344">
        <f t="shared" si="103"/>
        <v>3.9832105718709078E-2</v>
      </c>
      <c r="Z591" s="342">
        <v>6726.16</v>
      </c>
      <c r="AA591" s="344">
        <f t="shared" si="104"/>
        <v>2.3435347956466065E-2</v>
      </c>
      <c r="AB591" s="342">
        <v>19191.48</v>
      </c>
      <c r="AC591" s="344">
        <f t="shared" si="105"/>
        <v>6.6867129476485751E-2</v>
      </c>
      <c r="AD591" s="342">
        <v>87118.57</v>
      </c>
      <c r="AE591" s="342">
        <v>11681.12</v>
      </c>
      <c r="AF591" s="344">
        <f t="shared" si="97"/>
        <v>0.13408300893827801</v>
      </c>
      <c r="AG591" s="342">
        <v>4849.68</v>
      </c>
      <c r="AH591" s="344">
        <f t="shared" si="98"/>
        <v>5.566758040220357E-2</v>
      </c>
      <c r="AI591" s="342">
        <v>5308.83</v>
      </c>
      <c r="AJ591" s="344">
        <f t="shared" si="99"/>
        <v>6.093798371575658E-2</v>
      </c>
      <c r="AK591" s="342">
        <v>32401.91</v>
      </c>
      <c r="AL591" s="784">
        <f t="shared" si="100"/>
        <v>0.37192885512239238</v>
      </c>
      <c r="AM591" s="350">
        <f>IFERROR(T591/(D591+D547+D471)*90,"0.00")</f>
        <v>24.362435290596892</v>
      </c>
      <c r="AN591" s="350">
        <f>IFERROR(U591/(F591+F547+F471)*90,"0.00")</f>
        <v>19.493165218854873</v>
      </c>
      <c r="AO591" s="350">
        <f>IFERROR(AD591/(E591+E547+E471)*90,"0.00")</f>
        <v>137.59184521321629</v>
      </c>
      <c r="AP591" s="639">
        <f t="shared" si="101"/>
        <v>0.10577752014267844</v>
      </c>
    </row>
    <row r="592" spans="1:42" x14ac:dyDescent="0.2">
      <c r="A592" s="638">
        <v>42735</v>
      </c>
      <c r="B592" s="341" t="s">
        <v>134</v>
      </c>
      <c r="C592" s="351" t="s">
        <v>306</v>
      </c>
      <c r="D592" s="342">
        <v>140808.52016353601</v>
      </c>
      <c r="E592" s="342">
        <v>4172</v>
      </c>
      <c r="F592" s="342">
        <v>136636.52016353601</v>
      </c>
      <c r="G592" s="342">
        <v>86881.449917076199</v>
      </c>
      <c r="H592" s="342">
        <v>60607.389953849801</v>
      </c>
      <c r="I592" s="342">
        <v>26274.0599632263</v>
      </c>
      <c r="J592" s="342">
        <v>7068.4000029936396</v>
      </c>
      <c r="K592" s="343">
        <f t="shared" si="90"/>
        <v>79813.049914082454</v>
      </c>
      <c r="L592" s="342">
        <v>55270.439934533097</v>
      </c>
      <c r="M592" s="342">
        <v>1620.0200081467599</v>
      </c>
      <c r="N592" s="354">
        <v>618</v>
      </c>
      <c r="O592" s="343">
        <f t="shared" si="91"/>
        <v>227.84550188274437</v>
      </c>
      <c r="P592" s="343">
        <f t="shared" si="92"/>
        <v>135.78974145769607</v>
      </c>
      <c r="Q592" s="343">
        <f t="shared" si="93"/>
        <v>140.58487041598073</v>
      </c>
      <c r="R592" s="344">
        <f t="shared" si="94"/>
        <v>0.61701841490963305</v>
      </c>
      <c r="S592" s="344">
        <f t="shared" si="95"/>
        <v>1.1305378536583541</v>
      </c>
      <c r="T592" s="343">
        <f t="shared" si="96"/>
        <v>142554.23000000001</v>
      </c>
      <c r="U592" s="342">
        <v>119166.25000000001</v>
      </c>
      <c r="V592" s="342">
        <v>3405.78</v>
      </c>
      <c r="W592" s="344">
        <f t="shared" si="102"/>
        <v>2.8580071958293558E-2</v>
      </c>
      <c r="X592" s="342">
        <v>2937.41</v>
      </c>
      <c r="Y592" s="344">
        <f t="shared" si="103"/>
        <v>2.4649680593288783E-2</v>
      </c>
      <c r="Z592" s="342">
        <v>2242.38</v>
      </c>
      <c r="AA592" s="344">
        <f t="shared" si="104"/>
        <v>1.8817240619722446E-2</v>
      </c>
      <c r="AB592" s="342">
        <v>7553.52</v>
      </c>
      <c r="AC592" s="344">
        <f t="shared" si="105"/>
        <v>6.3386403448963111E-2</v>
      </c>
      <c r="AD592" s="342">
        <v>23387.98</v>
      </c>
      <c r="AE592" s="342">
        <v>2701.51</v>
      </c>
      <c r="AF592" s="344">
        <f t="shared" si="97"/>
        <v>0.11550847914184979</v>
      </c>
      <c r="AG592" s="342">
        <v>2273.4299999999998</v>
      </c>
      <c r="AH592" s="344">
        <f t="shared" si="98"/>
        <v>9.7205060035112048E-2</v>
      </c>
      <c r="AI592" s="342">
        <v>1589.78</v>
      </c>
      <c r="AJ592" s="344">
        <f t="shared" si="99"/>
        <v>6.7974232917934765E-2</v>
      </c>
      <c r="AK592" s="342">
        <v>9536.4</v>
      </c>
      <c r="AL592" s="784">
        <f t="shared" si="100"/>
        <v>0.40774791153404438</v>
      </c>
      <c r="AM592" s="350">
        <f>IFERROR(T592/(D592+D548)*60,"0.00")</f>
        <v>30.441820359125728</v>
      </c>
      <c r="AN592" s="350">
        <f>IFERROR(U592/(F592+F548)*60,"0.00")</f>
        <v>26.376516808113927</v>
      </c>
      <c r="AO592" s="350">
        <f>IFERROR(AD592/(E592+E548)*60,"0.00")</f>
        <v>141.78829948469232</v>
      </c>
      <c r="AP592" s="639">
        <f t="shared" si="101"/>
        <v>8.4229783009652184E-2</v>
      </c>
    </row>
    <row r="593" spans="1:42" x14ac:dyDescent="0.2">
      <c r="A593" s="638">
        <v>42735</v>
      </c>
      <c r="B593" s="341" t="s">
        <v>134</v>
      </c>
      <c r="C593" s="351" t="s">
        <v>307</v>
      </c>
      <c r="D593" s="342">
        <v>130109.110168338</v>
      </c>
      <c r="E593" s="342">
        <v>4049</v>
      </c>
      <c r="F593" s="342">
        <v>126060.110168338</v>
      </c>
      <c r="G593" s="342">
        <v>86415.429809389607</v>
      </c>
      <c r="H593" s="342">
        <v>59929.519804297001</v>
      </c>
      <c r="I593" s="342">
        <v>26485.910005092599</v>
      </c>
      <c r="J593" s="342">
        <v>5056.0000166892996</v>
      </c>
      <c r="K593" s="343">
        <f t="shared" si="90"/>
        <v>81359.429792700306</v>
      </c>
      <c r="L593" s="342">
        <v>61914.459985796399</v>
      </c>
      <c r="M593" s="342">
        <v>2528.1500078439699</v>
      </c>
      <c r="N593" s="354">
        <v>567</v>
      </c>
      <c r="O593" s="343">
        <f t="shared" si="91"/>
        <v>229.46933010288888</v>
      </c>
      <c r="P593" s="343">
        <f t="shared" si="92"/>
        <v>115.81393328870836</v>
      </c>
      <c r="Q593" s="343">
        <f t="shared" si="93"/>
        <v>152.40816544865891</v>
      </c>
      <c r="R593" s="344">
        <f t="shared" si="94"/>
        <v>0.66417662604550476</v>
      </c>
      <c r="S593" s="344">
        <f t="shared" si="95"/>
        <v>1.4257501519391722</v>
      </c>
      <c r="T593" s="343">
        <f t="shared" si="96"/>
        <v>158844.77000000002</v>
      </c>
      <c r="U593" s="342">
        <v>129615.34000000001</v>
      </c>
      <c r="V593" s="342">
        <v>6092.87</v>
      </c>
      <c r="W593" s="344">
        <f t="shared" si="102"/>
        <v>4.7007321818544001E-2</v>
      </c>
      <c r="X593" s="342">
        <v>7453.5</v>
      </c>
      <c r="Y593" s="344">
        <f t="shared" si="103"/>
        <v>5.7504767568406633E-2</v>
      </c>
      <c r="Z593" s="342">
        <v>4554.1899999999996</v>
      </c>
      <c r="AA593" s="344">
        <f t="shared" si="104"/>
        <v>3.5136196070619415E-2</v>
      </c>
      <c r="AB593" s="342">
        <v>8661.85</v>
      </c>
      <c r="AC593" s="344">
        <f t="shared" si="105"/>
        <v>6.6827352379741467E-2</v>
      </c>
      <c r="AD593" s="342">
        <v>29229.43</v>
      </c>
      <c r="AE593" s="342">
        <v>3036.32</v>
      </c>
      <c r="AF593" s="344">
        <f t="shared" si="97"/>
        <v>0.10387886455534713</v>
      </c>
      <c r="AG593" s="342">
        <v>2154.33</v>
      </c>
      <c r="AH593" s="344">
        <f t="shared" si="98"/>
        <v>7.3704139971254995E-2</v>
      </c>
      <c r="AI593" s="342">
        <v>2404.3200000000002</v>
      </c>
      <c r="AJ593" s="344">
        <f t="shared" si="99"/>
        <v>8.2256821292786081E-2</v>
      </c>
      <c r="AK593" s="342">
        <v>11911.22</v>
      </c>
      <c r="AL593" s="784">
        <f t="shared" si="100"/>
        <v>0.40750777555361151</v>
      </c>
      <c r="AM593" s="350">
        <f>IFERROR(T593/(D593+D549)*60,"0.00")</f>
        <v>34.312518052432189</v>
      </c>
      <c r="AN593" s="350">
        <f>IFERROR(U593/(F593+F593)*60,"0.00")</f>
        <v>30.846079658406083</v>
      </c>
      <c r="AO593" s="350">
        <f>IFERROR(AD593/(E593+E549)*60,"0.00")</f>
        <v>209.03048867699644</v>
      </c>
      <c r="AP593" s="639">
        <f t="shared" si="101"/>
        <v>7.699511932626886E-2</v>
      </c>
    </row>
    <row r="594" spans="1:42" x14ac:dyDescent="0.2">
      <c r="A594" s="638">
        <v>42735</v>
      </c>
      <c r="B594" s="341" t="s">
        <v>137</v>
      </c>
      <c r="C594" s="351" t="s">
        <v>200</v>
      </c>
      <c r="D594" s="342">
        <v>0</v>
      </c>
      <c r="E594" s="342">
        <v>0</v>
      </c>
      <c r="F594" s="342">
        <v>0</v>
      </c>
      <c r="G594" s="342">
        <v>0</v>
      </c>
      <c r="H594" s="342">
        <v>0</v>
      </c>
      <c r="I594" s="342">
        <v>0</v>
      </c>
      <c r="J594" s="342">
        <v>0</v>
      </c>
      <c r="K594" s="343">
        <f t="shared" si="90"/>
        <v>0</v>
      </c>
      <c r="L594" s="342">
        <v>0</v>
      </c>
      <c r="M594" s="342">
        <v>0</v>
      </c>
      <c r="N594" s="354">
        <v>0</v>
      </c>
      <c r="O594" s="343" t="str">
        <f t="shared" si="91"/>
        <v>$0.00</v>
      </c>
      <c r="P594" s="343" t="str">
        <f t="shared" si="92"/>
        <v>$0.00</v>
      </c>
      <c r="Q594" s="343" t="str">
        <f t="shared" si="93"/>
        <v>$0.00</v>
      </c>
      <c r="R594" s="344" t="str">
        <f t="shared" si="94"/>
        <v>0.00%</v>
      </c>
      <c r="S594" s="344" t="str">
        <f t="shared" si="95"/>
        <v>0.00%</v>
      </c>
      <c r="T594" s="343">
        <f t="shared" si="96"/>
        <v>-75</v>
      </c>
      <c r="U594" s="342">
        <v>-25</v>
      </c>
      <c r="V594" s="342">
        <v>0</v>
      </c>
      <c r="W594" s="344">
        <v>0</v>
      </c>
      <c r="X594" s="342">
        <v>0</v>
      </c>
      <c r="Y594" s="344">
        <f t="shared" si="103"/>
        <v>0</v>
      </c>
      <c r="Z594" s="342">
        <v>0</v>
      </c>
      <c r="AA594" s="344">
        <f t="shared" si="104"/>
        <v>0</v>
      </c>
      <c r="AB594" s="342">
        <v>-25</v>
      </c>
      <c r="AC594" s="344">
        <v>0</v>
      </c>
      <c r="AD594" s="342">
        <v>-50</v>
      </c>
      <c r="AE594" s="342">
        <v>0</v>
      </c>
      <c r="AF594" s="344">
        <f t="shared" si="97"/>
        <v>0</v>
      </c>
      <c r="AG594" s="342">
        <v>0</v>
      </c>
      <c r="AH594" s="344">
        <f t="shared" si="98"/>
        <v>0</v>
      </c>
      <c r="AI594" s="342">
        <v>0</v>
      </c>
      <c r="AJ594" s="344">
        <f t="shared" si="99"/>
        <v>0</v>
      </c>
      <c r="AK594" s="342">
        <v>-50</v>
      </c>
      <c r="AL594" s="784">
        <f t="shared" si="100"/>
        <v>1</v>
      </c>
      <c r="AM594" s="350" t="str">
        <f>IFERROR(T594/(D594+D550+D495)*90,"0.00")</f>
        <v>0.00</v>
      </c>
      <c r="AN594" s="350" t="str">
        <f>IFERROR(U594/(F594+F550+F495)*90,"0.00")</f>
        <v>0.00</v>
      </c>
      <c r="AO594" s="350" t="str">
        <f>IFERROR(AD594/(E594+E550+E495)*90,"0.00")</f>
        <v>0.00</v>
      </c>
      <c r="AP594" s="639" t="str">
        <f t="shared" si="101"/>
        <v>0.00%</v>
      </c>
    </row>
    <row r="595" spans="1:42" x14ac:dyDescent="0.2">
      <c r="A595" s="638">
        <v>42735</v>
      </c>
      <c r="B595" s="341" t="s">
        <v>136</v>
      </c>
      <c r="C595" s="351" t="s">
        <v>310</v>
      </c>
      <c r="D595" s="342">
        <v>22743</v>
      </c>
      <c r="E595" s="342">
        <v>805</v>
      </c>
      <c r="F595" s="342">
        <v>21938</v>
      </c>
      <c r="G595" s="342">
        <v>8789.4099807739294</v>
      </c>
      <c r="H595" s="342">
        <v>3147.22997665405</v>
      </c>
      <c r="I595" s="342">
        <v>5642.1800041198703</v>
      </c>
      <c r="J595" s="342">
        <v>0</v>
      </c>
      <c r="K595" s="343">
        <f t="shared" si="90"/>
        <v>8789.4099807739203</v>
      </c>
      <c r="L595" s="342">
        <v>2903.02000427246</v>
      </c>
      <c r="M595" s="342">
        <v>0</v>
      </c>
      <c r="N595" s="354">
        <v>100</v>
      </c>
      <c r="O595" s="343">
        <f t="shared" si="91"/>
        <v>227.43</v>
      </c>
      <c r="P595" s="343">
        <f t="shared" si="92"/>
        <v>198.39979995727538</v>
      </c>
      <c r="Q595" s="343">
        <f t="shared" si="93"/>
        <v>87.894099807739209</v>
      </c>
      <c r="R595" s="344">
        <f t="shared" si="94"/>
        <v>0.38646660426390189</v>
      </c>
      <c r="S595" s="344">
        <f t="shared" si="95"/>
        <v>0.44301506264959362</v>
      </c>
      <c r="T595" s="343">
        <f t="shared" si="96"/>
        <v>15239.55</v>
      </c>
      <c r="U595" s="342">
        <v>14912.92</v>
      </c>
      <c r="V595" s="342">
        <v>0</v>
      </c>
      <c r="W595" s="344">
        <f t="shared" si="102"/>
        <v>0</v>
      </c>
      <c r="X595" s="342">
        <v>0</v>
      </c>
      <c r="Y595" s="344">
        <f t="shared" si="103"/>
        <v>0</v>
      </c>
      <c r="Z595" s="342">
        <v>0</v>
      </c>
      <c r="AA595" s="344">
        <f t="shared" si="104"/>
        <v>0</v>
      </c>
      <c r="AB595" s="342">
        <v>0</v>
      </c>
      <c r="AC595" s="344">
        <f t="shared" si="105"/>
        <v>0</v>
      </c>
      <c r="AD595" s="342">
        <v>326.63</v>
      </c>
      <c r="AE595" s="342">
        <v>0</v>
      </c>
      <c r="AF595" s="344">
        <f t="shared" si="97"/>
        <v>0</v>
      </c>
      <c r="AG595" s="342">
        <v>0</v>
      </c>
      <c r="AH595" s="344">
        <f t="shared" si="98"/>
        <v>0</v>
      </c>
      <c r="AI595" s="342">
        <v>0</v>
      </c>
      <c r="AJ595" s="344">
        <f t="shared" si="99"/>
        <v>0</v>
      </c>
      <c r="AK595" s="342">
        <v>0</v>
      </c>
      <c r="AL595" s="784">
        <f t="shared" si="100"/>
        <v>0</v>
      </c>
      <c r="AM595" s="350">
        <f>IFERROR(T595/(D595)*30,"0.00")</f>
        <v>20.102295211713493</v>
      </c>
      <c r="AN595" s="350">
        <f>IFERROR(U595/(F595)*30,"0.00")</f>
        <v>20.393271948217702</v>
      </c>
      <c r="AO595" s="350">
        <f>IFERROR(AD595/(E595)*30,"0.00")</f>
        <v>12.172546583850931</v>
      </c>
      <c r="AP595" s="639">
        <f t="shared" si="101"/>
        <v>0</v>
      </c>
    </row>
    <row r="596" spans="1:42" x14ac:dyDescent="0.2">
      <c r="A596" s="638">
        <v>42735</v>
      </c>
      <c r="B596" s="341" t="s">
        <v>135</v>
      </c>
      <c r="C596" s="351" t="s">
        <v>180</v>
      </c>
      <c r="D596" s="342">
        <v>0</v>
      </c>
      <c r="E596" s="342">
        <v>0</v>
      </c>
      <c r="F596" s="342">
        <v>0</v>
      </c>
      <c r="G596" s="342">
        <v>0</v>
      </c>
      <c r="H596" s="342">
        <v>0</v>
      </c>
      <c r="I596" s="342">
        <v>0</v>
      </c>
      <c r="J596" s="342">
        <v>0</v>
      </c>
      <c r="K596" s="343">
        <f t="shared" ref="K596" si="106">SUM(H596:I596)-J596</f>
        <v>0</v>
      </c>
      <c r="L596" s="342">
        <v>0</v>
      </c>
      <c r="M596" s="342">
        <v>0</v>
      </c>
      <c r="N596" s="354">
        <v>0</v>
      </c>
      <c r="O596" s="343" t="str">
        <f t="shared" si="91"/>
        <v>$0.00</v>
      </c>
      <c r="P596" s="343" t="str">
        <f t="shared" si="92"/>
        <v>$0.00</v>
      </c>
      <c r="Q596" s="343" t="str">
        <f t="shared" si="93"/>
        <v>$0.00</v>
      </c>
      <c r="R596" s="344" t="str">
        <f t="shared" si="94"/>
        <v>0.00%</v>
      </c>
      <c r="S596" s="344" t="str">
        <f t="shared" si="95"/>
        <v>0.00%</v>
      </c>
      <c r="T596" s="343">
        <f t="shared" si="96"/>
        <v>-30</v>
      </c>
      <c r="U596" s="342">
        <v>0</v>
      </c>
      <c r="V596" s="342">
        <v>0</v>
      </c>
      <c r="W596" s="344" t="str">
        <f t="shared" si="102"/>
        <v>0.00%</v>
      </c>
      <c r="X596" s="342">
        <v>0</v>
      </c>
      <c r="Y596" s="344" t="str">
        <f t="shared" si="103"/>
        <v>0.00%</v>
      </c>
      <c r="Z596" s="342">
        <v>0</v>
      </c>
      <c r="AA596" s="344">
        <f t="shared" si="104"/>
        <v>0</v>
      </c>
      <c r="AB596" s="342">
        <v>0</v>
      </c>
      <c r="AC596" s="344" t="str">
        <f t="shared" si="105"/>
        <v>0.00%</v>
      </c>
      <c r="AD596" s="342">
        <v>-30</v>
      </c>
      <c r="AE596" s="342">
        <v>0</v>
      </c>
      <c r="AF596" s="344">
        <f t="shared" si="97"/>
        <v>0</v>
      </c>
      <c r="AG596" s="342">
        <v>0</v>
      </c>
      <c r="AH596" s="344">
        <f t="shared" si="98"/>
        <v>0</v>
      </c>
      <c r="AI596" s="342">
        <v>0</v>
      </c>
      <c r="AJ596" s="344">
        <f t="shared" si="99"/>
        <v>0</v>
      </c>
      <c r="AK596" s="342">
        <v>-30</v>
      </c>
      <c r="AL596" s="784">
        <f t="shared" si="100"/>
        <v>1</v>
      </c>
      <c r="AM596" s="350" t="str">
        <f>IFERROR(T596/(D596+D4722+D421)*90,"0.00")</f>
        <v>0.00</v>
      </c>
      <c r="AN596" s="350" t="str">
        <f>IFERROR(U596/(F596+F472+F421)*90,"0.00")</f>
        <v>0.00</v>
      </c>
      <c r="AO596" s="350" t="str">
        <f>IFERROR(AD596/(E596+E472+E421)*90,"0.00")</f>
        <v>0.00</v>
      </c>
      <c r="AP596" s="639" t="str">
        <f t="shared" si="101"/>
        <v>0.00%</v>
      </c>
    </row>
    <row r="597" spans="1:42" x14ac:dyDescent="0.2">
      <c r="A597" s="638">
        <v>42735</v>
      </c>
      <c r="B597" s="341" t="s">
        <v>133</v>
      </c>
      <c r="C597" s="351" t="s">
        <v>165</v>
      </c>
      <c r="D597" s="342">
        <v>0</v>
      </c>
      <c r="E597" s="342">
        <v>0</v>
      </c>
      <c r="F597" s="342">
        <v>0</v>
      </c>
      <c r="G597" s="342">
        <v>0</v>
      </c>
      <c r="H597" s="342">
        <v>0</v>
      </c>
      <c r="I597" s="342">
        <v>0</v>
      </c>
      <c r="J597" s="342">
        <v>0</v>
      </c>
      <c r="K597" s="343">
        <v>0</v>
      </c>
      <c r="L597" s="342">
        <v>0</v>
      </c>
      <c r="M597" s="342">
        <v>0</v>
      </c>
      <c r="N597" s="354">
        <v>0</v>
      </c>
      <c r="O597" s="343" t="str">
        <f t="shared" si="91"/>
        <v>$0.00</v>
      </c>
      <c r="P597" s="343" t="str">
        <f t="shared" si="92"/>
        <v>$0.00</v>
      </c>
      <c r="Q597" s="343" t="str">
        <f t="shared" si="93"/>
        <v>$0.00</v>
      </c>
      <c r="R597" s="344" t="str">
        <f t="shared" si="94"/>
        <v>0.00%</v>
      </c>
      <c r="S597" s="344" t="str">
        <f t="shared" si="95"/>
        <v>0.00%</v>
      </c>
      <c r="T597" s="343">
        <f t="shared" si="96"/>
        <v>-38.61</v>
      </c>
      <c r="U597" s="342">
        <v>0</v>
      </c>
      <c r="V597" s="342">
        <v>0</v>
      </c>
      <c r="W597" s="344" t="str">
        <f t="shared" si="102"/>
        <v>0.00%</v>
      </c>
      <c r="X597" s="342">
        <v>0</v>
      </c>
      <c r="Y597" s="344" t="str">
        <f t="shared" si="103"/>
        <v>0.00%</v>
      </c>
      <c r="Z597" s="342">
        <v>0</v>
      </c>
      <c r="AA597" s="344">
        <f t="shared" si="104"/>
        <v>0</v>
      </c>
      <c r="AB597" s="342">
        <v>0</v>
      </c>
      <c r="AC597" s="344" t="str">
        <f t="shared" si="105"/>
        <v>0.00%</v>
      </c>
      <c r="AD597" s="342">
        <v>-38.61</v>
      </c>
      <c r="AE597" s="342">
        <v>0</v>
      </c>
      <c r="AF597" s="344">
        <f t="shared" si="97"/>
        <v>0</v>
      </c>
      <c r="AG597" s="342">
        <v>0</v>
      </c>
      <c r="AH597" s="344">
        <f t="shared" si="98"/>
        <v>0</v>
      </c>
      <c r="AI597" s="342">
        <v>0</v>
      </c>
      <c r="AJ597" s="344">
        <f t="shared" si="99"/>
        <v>0</v>
      </c>
      <c r="AK597" s="342">
        <v>-38.61</v>
      </c>
      <c r="AL597" s="784">
        <f t="shared" si="100"/>
        <v>1</v>
      </c>
      <c r="AM597" s="350">
        <v>0</v>
      </c>
      <c r="AN597" s="350">
        <v>0</v>
      </c>
      <c r="AO597" s="350">
        <v>0</v>
      </c>
      <c r="AP597" s="639" t="str">
        <f t="shared" si="101"/>
        <v>0.00%</v>
      </c>
    </row>
    <row r="598" spans="1:42" x14ac:dyDescent="0.2">
      <c r="A598" s="638">
        <v>42766</v>
      </c>
      <c r="B598" s="341" t="s">
        <v>135</v>
      </c>
      <c r="C598" s="351" t="s">
        <v>180</v>
      </c>
      <c r="D598" s="342">
        <v>0</v>
      </c>
      <c r="E598" s="342">
        <v>0</v>
      </c>
      <c r="F598" s="342">
        <v>0</v>
      </c>
      <c r="G598" s="342">
        <v>0</v>
      </c>
      <c r="H598" s="342">
        <v>0</v>
      </c>
      <c r="I598" s="342">
        <v>0</v>
      </c>
      <c r="J598" s="342">
        <v>0</v>
      </c>
      <c r="K598" s="343">
        <f t="shared" ref="K598:K648" si="107">SUM(H598:I598)-J598</f>
        <v>0</v>
      </c>
      <c r="L598" s="342">
        <v>0</v>
      </c>
      <c r="M598" s="342">
        <v>0</v>
      </c>
      <c r="N598" s="354">
        <v>0</v>
      </c>
      <c r="O598" s="343" t="str">
        <f t="shared" si="91"/>
        <v>$0.00</v>
      </c>
      <c r="P598" s="343" t="str">
        <f t="shared" si="92"/>
        <v>$0.00</v>
      </c>
      <c r="Q598" s="343" t="str">
        <f t="shared" si="93"/>
        <v>$0.00</v>
      </c>
      <c r="R598" s="344" t="str">
        <f t="shared" si="94"/>
        <v>0.00%</v>
      </c>
      <c r="S598" s="344" t="str">
        <f t="shared" si="95"/>
        <v>0.00%</v>
      </c>
      <c r="T598" s="343">
        <f t="shared" si="96"/>
        <v>-30</v>
      </c>
      <c r="U598" s="342">
        <v>0</v>
      </c>
      <c r="V598" s="342">
        <v>0</v>
      </c>
      <c r="W598" s="344" t="str">
        <f t="shared" si="102"/>
        <v>0.00%</v>
      </c>
      <c r="X598" s="342">
        <v>0</v>
      </c>
      <c r="Y598" s="344" t="str">
        <f t="shared" si="103"/>
        <v>0.00%</v>
      </c>
      <c r="Z598" s="342">
        <v>0</v>
      </c>
      <c r="AA598" s="344">
        <f t="shared" si="104"/>
        <v>0</v>
      </c>
      <c r="AB598" s="342">
        <v>0</v>
      </c>
      <c r="AC598" s="344" t="str">
        <f t="shared" si="105"/>
        <v>0.00%</v>
      </c>
      <c r="AD598" s="342">
        <v>-30</v>
      </c>
      <c r="AE598" s="342">
        <v>0</v>
      </c>
      <c r="AF598" s="344">
        <f t="shared" si="97"/>
        <v>0</v>
      </c>
      <c r="AG598" s="342">
        <v>0</v>
      </c>
      <c r="AH598" s="344">
        <f t="shared" si="98"/>
        <v>0</v>
      </c>
      <c r="AI598" s="342">
        <v>0</v>
      </c>
      <c r="AJ598" s="344">
        <f t="shared" si="99"/>
        <v>0</v>
      </c>
      <c r="AK598" s="342">
        <v>-30</v>
      </c>
      <c r="AL598" s="784">
        <f t="shared" si="100"/>
        <v>1</v>
      </c>
      <c r="AM598" s="350">
        <v>0</v>
      </c>
      <c r="AN598" s="350">
        <v>0</v>
      </c>
      <c r="AO598" s="350">
        <v>0</v>
      </c>
      <c r="AP598" s="639" t="str">
        <f t="shared" si="101"/>
        <v>0.00%</v>
      </c>
    </row>
    <row r="599" spans="1:42" x14ac:dyDescent="0.2">
      <c r="A599" s="638">
        <v>42766</v>
      </c>
      <c r="B599" s="341" t="s">
        <v>135</v>
      </c>
      <c r="C599" s="351" t="s">
        <v>181</v>
      </c>
      <c r="D599" s="342">
        <v>129555</v>
      </c>
      <c r="E599" s="342">
        <v>7660</v>
      </c>
      <c r="F599" s="342">
        <v>121895</v>
      </c>
      <c r="G599" s="342">
        <v>69624.170528173403</v>
      </c>
      <c r="H599" s="342">
        <v>34156.790292501399</v>
      </c>
      <c r="I599" s="342">
        <v>35467.380235671997</v>
      </c>
      <c r="J599" s="342">
        <v>6642.9300189018204</v>
      </c>
      <c r="K599" s="343">
        <f t="shared" si="107"/>
        <v>62981.240509271571</v>
      </c>
      <c r="L599" s="342">
        <v>45189.389595270201</v>
      </c>
      <c r="M599" s="342">
        <v>3488.2100117299701</v>
      </c>
      <c r="N599" s="354">
        <v>858</v>
      </c>
      <c r="O599" s="343">
        <f t="shared" si="91"/>
        <v>150.99650349650349</v>
      </c>
      <c r="P599" s="343">
        <f t="shared" si="92"/>
        <v>94.26270442074572</v>
      </c>
      <c r="Q599" s="343">
        <f t="shared" si="93"/>
        <v>81.147051897637979</v>
      </c>
      <c r="R599" s="344">
        <f t="shared" si="94"/>
        <v>0.53741013876865729</v>
      </c>
      <c r="S599" s="344">
        <f t="shared" si="95"/>
        <v>0.93789543021333055</v>
      </c>
      <c r="T599" s="343">
        <f t="shared" si="96"/>
        <v>128385.25999999998</v>
      </c>
      <c r="U599" s="342">
        <v>101476.47999999998</v>
      </c>
      <c r="V599" s="342">
        <v>7680.6</v>
      </c>
      <c r="W599" s="344">
        <f t="shared" si="102"/>
        <v>7.5688474807167158E-2</v>
      </c>
      <c r="X599" s="342">
        <v>4876.01</v>
      </c>
      <c r="Y599" s="344">
        <f t="shared" si="103"/>
        <v>4.805064188272988E-2</v>
      </c>
      <c r="Z599" s="342">
        <v>853.23</v>
      </c>
      <c r="AA599" s="344">
        <f t="shared" si="104"/>
        <v>8.4081552690830445E-3</v>
      </c>
      <c r="AB599" s="342">
        <v>5247.62</v>
      </c>
      <c r="AC599" s="344">
        <f t="shared" si="105"/>
        <v>5.1712672729680817E-2</v>
      </c>
      <c r="AD599" s="342">
        <v>26908.78</v>
      </c>
      <c r="AE599" s="342">
        <v>2384.1799999999998</v>
      </c>
      <c r="AF599" s="344">
        <f t="shared" si="97"/>
        <v>8.860230749963395E-2</v>
      </c>
      <c r="AG599" s="342">
        <v>2024.77</v>
      </c>
      <c r="AH599" s="344">
        <f t="shared" si="98"/>
        <v>7.5245700473971694E-2</v>
      </c>
      <c r="AI599" s="342">
        <v>2082.14</v>
      </c>
      <c r="AJ599" s="344">
        <f t="shared" si="99"/>
        <v>7.7377718350664731E-2</v>
      </c>
      <c r="AK599" s="342">
        <v>7674.33</v>
      </c>
      <c r="AL599" s="784">
        <f t="shared" si="100"/>
        <v>0.28519799113895167</v>
      </c>
      <c r="AM599" s="350">
        <f>IFERROR(T599/(D599+D559+D515)*90,"0.00")</f>
        <v>32.521250303955178</v>
      </c>
      <c r="AN599" s="350">
        <f>IFERROR(U599/(F599+F559+F515)*90,"0.00")</f>
        <v>27.414788686400858</v>
      </c>
      <c r="AO599" s="350">
        <f>IFERROR(AD599/(E599+E559+E515)*90,"0.00")</f>
        <v>109.29149329843405</v>
      </c>
      <c r="AP599" s="639">
        <f t="shared" si="101"/>
        <v>8.2135800441439324E-2</v>
      </c>
    </row>
    <row r="600" spans="1:42" x14ac:dyDescent="0.2">
      <c r="A600" s="638">
        <v>42766</v>
      </c>
      <c r="B600" s="341" t="s">
        <v>133</v>
      </c>
      <c r="C600" s="351" t="s">
        <v>161</v>
      </c>
      <c r="D600" s="342">
        <v>0</v>
      </c>
      <c r="E600" s="342">
        <v>0</v>
      </c>
      <c r="F600" s="342">
        <v>0</v>
      </c>
      <c r="G600" s="342">
        <v>0</v>
      </c>
      <c r="H600" s="342">
        <v>0</v>
      </c>
      <c r="I600" s="342">
        <v>0</v>
      </c>
      <c r="J600" s="342">
        <v>0</v>
      </c>
      <c r="K600" s="343">
        <f t="shared" si="107"/>
        <v>0</v>
      </c>
      <c r="L600" s="342">
        <v>0</v>
      </c>
      <c r="M600" s="342">
        <v>0</v>
      </c>
      <c r="N600" s="354">
        <v>0</v>
      </c>
      <c r="O600" s="343" t="str">
        <f t="shared" si="91"/>
        <v>$0.00</v>
      </c>
      <c r="P600" s="343" t="str">
        <f t="shared" si="92"/>
        <v>$0.00</v>
      </c>
      <c r="Q600" s="343" t="str">
        <f t="shared" si="93"/>
        <v>$0.00</v>
      </c>
      <c r="R600" s="344" t="str">
        <f t="shared" si="94"/>
        <v>0.00%</v>
      </c>
      <c r="S600" s="344" t="str">
        <f t="shared" si="95"/>
        <v>0.00%</v>
      </c>
      <c r="T600" s="343">
        <f t="shared" si="96"/>
        <v>-354.62</v>
      </c>
      <c r="U600" s="342">
        <v>-177.68</v>
      </c>
      <c r="V600" s="342">
        <v>0</v>
      </c>
      <c r="W600" s="344">
        <v>0</v>
      </c>
      <c r="X600" s="342">
        <v>0</v>
      </c>
      <c r="Y600" s="344">
        <f t="shared" si="103"/>
        <v>0</v>
      </c>
      <c r="Z600" s="342">
        <v>0</v>
      </c>
      <c r="AA600" s="344">
        <f t="shared" si="104"/>
        <v>0</v>
      </c>
      <c r="AB600" s="342">
        <v>-177.68</v>
      </c>
      <c r="AC600" s="344">
        <v>0</v>
      </c>
      <c r="AD600" s="342">
        <v>-176.94</v>
      </c>
      <c r="AE600" s="342">
        <v>0</v>
      </c>
      <c r="AF600" s="344">
        <f t="shared" si="97"/>
        <v>0</v>
      </c>
      <c r="AG600" s="342">
        <v>0</v>
      </c>
      <c r="AH600" s="344">
        <f t="shared" si="98"/>
        <v>0</v>
      </c>
      <c r="AI600" s="342">
        <v>0</v>
      </c>
      <c r="AJ600" s="344">
        <f t="shared" si="99"/>
        <v>0</v>
      </c>
      <c r="AK600" s="342">
        <v>-176.94</v>
      </c>
      <c r="AL600" s="784">
        <f t="shared" si="100"/>
        <v>1</v>
      </c>
      <c r="AM600" s="350">
        <v>0</v>
      </c>
      <c r="AN600" s="350">
        <v>0</v>
      </c>
      <c r="AO600" s="350">
        <v>0</v>
      </c>
      <c r="AP600" s="639" t="str">
        <f t="shared" si="101"/>
        <v>0.00%</v>
      </c>
    </row>
    <row r="601" spans="1:42" x14ac:dyDescent="0.2">
      <c r="A601" s="638">
        <v>42766</v>
      </c>
      <c r="B601" s="341" t="s">
        <v>133</v>
      </c>
      <c r="C601" s="351" t="s">
        <v>162</v>
      </c>
      <c r="D601" s="342">
        <v>206242.36000133501</v>
      </c>
      <c r="E601" s="342">
        <v>12525</v>
      </c>
      <c r="F601" s="342">
        <v>193717.36000133501</v>
      </c>
      <c r="G601" s="342">
        <v>123843.900082048</v>
      </c>
      <c r="H601" s="342">
        <v>57236.720006521798</v>
      </c>
      <c r="I601" s="342">
        <v>66607.180075526194</v>
      </c>
      <c r="J601" s="342">
        <v>10756.440017938599</v>
      </c>
      <c r="K601" s="343">
        <f t="shared" si="107"/>
        <v>113087.4600641094</v>
      </c>
      <c r="L601" s="342">
        <v>66863.570031587005</v>
      </c>
      <c r="M601" s="342">
        <v>4101.7000068426096</v>
      </c>
      <c r="N601" s="354">
        <v>1037</v>
      </c>
      <c r="O601" s="343">
        <f t="shared" si="91"/>
        <v>198.88366441787369</v>
      </c>
      <c r="P601" s="343">
        <f t="shared" si="92"/>
        <v>130.45042426509681</v>
      </c>
      <c r="Q601" s="343">
        <f t="shared" si="93"/>
        <v>119.42516883514755</v>
      </c>
      <c r="R601" s="344">
        <f t="shared" si="94"/>
        <v>0.60047751626409995</v>
      </c>
      <c r="S601" s="344">
        <f t="shared" si="95"/>
        <v>0.99456515956816893</v>
      </c>
      <c r="T601" s="343">
        <f t="shared" si="96"/>
        <v>136322.71</v>
      </c>
      <c r="U601" s="342">
        <v>100922.37</v>
      </c>
      <c r="V601" s="342">
        <v>2537.08</v>
      </c>
      <c r="W601" s="344">
        <f t="shared" si="102"/>
        <v>2.5138926087447215E-2</v>
      </c>
      <c r="X601" s="342">
        <v>59.97</v>
      </c>
      <c r="Y601" s="344">
        <f t="shared" si="103"/>
        <v>5.9421910127556454E-4</v>
      </c>
      <c r="Z601" s="342">
        <v>-205.1</v>
      </c>
      <c r="AA601" s="344">
        <v>0</v>
      </c>
      <c r="AB601" s="342">
        <v>4064.41</v>
      </c>
      <c r="AC601" s="344">
        <f t="shared" si="105"/>
        <v>4.0272637275561407E-2</v>
      </c>
      <c r="AD601" s="342">
        <v>35400.339999999997</v>
      </c>
      <c r="AE601" s="342">
        <v>3955.76</v>
      </c>
      <c r="AF601" s="344">
        <f t="shared" si="97"/>
        <v>0.11174355952513453</v>
      </c>
      <c r="AG601" s="342">
        <v>3218.61</v>
      </c>
      <c r="AH601" s="344">
        <f t="shared" si="98"/>
        <v>9.0920313194732039E-2</v>
      </c>
      <c r="AI601" s="342">
        <v>1282.45</v>
      </c>
      <c r="AJ601" s="344">
        <f t="shared" si="99"/>
        <v>3.6227053186494822E-2</v>
      </c>
      <c r="AK601" s="342">
        <v>15118.05</v>
      </c>
      <c r="AL601" s="784">
        <f t="shared" si="100"/>
        <v>0.42705945762102854</v>
      </c>
      <c r="AM601" s="350">
        <f>IFERROR(T601/(D601+D551+D507)*90,"0.00")</f>
        <v>23.54548863988736</v>
      </c>
      <c r="AN601" s="350">
        <f>IFERROR(U601/(F601+F551+F507)*90,"0.00")</f>
        <v>18.507137951230192</v>
      </c>
      <c r="AO601" s="350">
        <f>IFERROR(AD601/(E601+E551+E507)*90,"0.00")</f>
        <v>105.17035056446819</v>
      </c>
      <c r="AP601" s="639">
        <f t="shared" si="101"/>
        <v>7.9514129265259512E-2</v>
      </c>
    </row>
    <row r="602" spans="1:42" x14ac:dyDescent="0.2">
      <c r="A602" s="638">
        <v>42766</v>
      </c>
      <c r="B602" s="341" t="s">
        <v>133</v>
      </c>
      <c r="C602" s="351" t="s">
        <v>164</v>
      </c>
      <c r="D602" s="342">
        <v>223197.98000267</v>
      </c>
      <c r="E602" s="342">
        <v>20309</v>
      </c>
      <c r="F602" s="342">
        <v>202888.98000267</v>
      </c>
      <c r="G602" s="342">
        <v>135766.270060018</v>
      </c>
      <c r="H602" s="342">
        <v>62825.859996035702</v>
      </c>
      <c r="I602" s="342">
        <v>72940.410063981995</v>
      </c>
      <c r="J602" s="342">
        <v>15464.390034079601</v>
      </c>
      <c r="K602" s="343">
        <f t="shared" si="107"/>
        <v>120301.88002593811</v>
      </c>
      <c r="L602" s="342">
        <v>73041.0400067382</v>
      </c>
      <c r="M602" s="342">
        <v>2518.1699899733098</v>
      </c>
      <c r="N602" s="354">
        <v>992</v>
      </c>
      <c r="O602" s="343">
        <f t="shared" si="91"/>
        <v>224.99796371236894</v>
      </c>
      <c r="P602" s="343">
        <f t="shared" si="92"/>
        <v>148.82940524794205</v>
      </c>
      <c r="Q602" s="343">
        <f t="shared" si="93"/>
        <v>136.86115933469526</v>
      </c>
      <c r="R602" s="344">
        <f t="shared" si="94"/>
        <v>0.6082773242768309</v>
      </c>
      <c r="S602" s="344">
        <f t="shared" si="95"/>
        <v>1.027175388217467</v>
      </c>
      <c r="T602" s="343">
        <f t="shared" si="96"/>
        <v>179422.19</v>
      </c>
      <c r="U602" s="342">
        <v>140490.9</v>
      </c>
      <c r="V602" s="342">
        <v>6614.59</v>
      </c>
      <c r="W602" s="344">
        <f t="shared" si="102"/>
        <v>4.7081981822310201E-2</v>
      </c>
      <c r="X602" s="342">
        <v>5009.03</v>
      </c>
      <c r="Y602" s="344">
        <f t="shared" si="103"/>
        <v>3.5653768322361092E-2</v>
      </c>
      <c r="Z602" s="342">
        <v>2433.91</v>
      </c>
      <c r="AA602" s="344">
        <f t="shared" si="104"/>
        <v>1.7324324920688812E-2</v>
      </c>
      <c r="AB602" s="342">
        <v>8358.59</v>
      </c>
      <c r="AC602" s="344">
        <f t="shared" si="105"/>
        <v>5.9495597223734778E-2</v>
      </c>
      <c r="AD602" s="342">
        <v>38931.29</v>
      </c>
      <c r="AE602" s="342">
        <v>4116.54</v>
      </c>
      <c r="AF602" s="344">
        <f t="shared" si="97"/>
        <v>0.10573859741097713</v>
      </c>
      <c r="AG602" s="342">
        <v>4134.4799999999996</v>
      </c>
      <c r="AH602" s="344">
        <f t="shared" si="98"/>
        <v>0.10619940926694182</v>
      </c>
      <c r="AI602" s="342">
        <v>2679.42</v>
      </c>
      <c r="AJ602" s="344">
        <f t="shared" si="99"/>
        <v>6.8824331276975403E-2</v>
      </c>
      <c r="AK602" s="342">
        <v>15247</v>
      </c>
      <c r="AL602" s="784">
        <f t="shared" si="100"/>
        <v>0.39163870501080233</v>
      </c>
      <c r="AM602" s="350">
        <f>IFERROR(T602/(D602+D508+D552)*90,"0.00")</f>
        <v>26.456912800275958</v>
      </c>
      <c r="AN602" s="350">
        <f>IFERROR(U602/(F602+F552+F508)*90,"0.00")</f>
        <v>22.533555117232584</v>
      </c>
      <c r="AO602" s="350">
        <f>IFERROR(AD602/(E602+E552+E508)*90,"0.00")</f>
        <v>71.181051925889818</v>
      </c>
      <c r="AP602" s="639">
        <f t="shared" si="101"/>
        <v>0.10474477695428835</v>
      </c>
    </row>
    <row r="603" spans="1:42" x14ac:dyDescent="0.2">
      <c r="A603" s="638">
        <v>42766</v>
      </c>
      <c r="B603" s="341" t="s">
        <v>133</v>
      </c>
      <c r="C603" s="351" t="s">
        <v>317</v>
      </c>
      <c r="D603" s="342">
        <v>52378.2300019264</v>
      </c>
      <c r="E603" s="342">
        <v>3981</v>
      </c>
      <c r="F603" s="342">
        <v>48397.2300019264</v>
      </c>
      <c r="G603" s="342">
        <v>17308.850044250499</v>
      </c>
      <c r="H603" s="342">
        <v>1277.90001678467</v>
      </c>
      <c r="I603" s="342">
        <v>16030.9500274658</v>
      </c>
      <c r="J603" s="342">
        <v>0</v>
      </c>
      <c r="K603" s="343">
        <f t="shared" si="107"/>
        <v>17308.85004425047</v>
      </c>
      <c r="L603" s="342">
        <v>971.48000335693405</v>
      </c>
      <c r="M603" s="342">
        <v>0</v>
      </c>
      <c r="N603" s="354">
        <v>224</v>
      </c>
      <c r="O603" s="343">
        <f t="shared" si="91"/>
        <v>233.83138393717144</v>
      </c>
      <c r="P603" s="343">
        <f t="shared" si="92"/>
        <v>229.49441963647084</v>
      </c>
      <c r="Q603" s="343">
        <f t="shared" si="93"/>
        <v>77.271651983261023</v>
      </c>
      <c r="R603" s="344">
        <f t="shared" si="94"/>
        <v>0.33045885749888598</v>
      </c>
      <c r="S603" s="344">
        <f t="shared" si="95"/>
        <v>0.33670383840122425</v>
      </c>
      <c r="T603" s="343">
        <f t="shared" si="96"/>
        <v>37349.9</v>
      </c>
      <c r="U603" s="342">
        <v>37939.96</v>
      </c>
      <c r="V603" s="342">
        <v>0</v>
      </c>
      <c r="W603" s="344">
        <f t="shared" si="102"/>
        <v>0</v>
      </c>
      <c r="X603" s="342">
        <v>0</v>
      </c>
      <c r="Y603" s="344">
        <f t="shared" si="103"/>
        <v>0</v>
      </c>
      <c r="Z603" s="342">
        <v>0</v>
      </c>
      <c r="AA603" s="344">
        <f t="shared" si="104"/>
        <v>0</v>
      </c>
      <c r="AB603" s="342">
        <v>0</v>
      </c>
      <c r="AC603" s="344">
        <f t="shared" si="105"/>
        <v>0</v>
      </c>
      <c r="AD603" s="342">
        <v>-590.05999999999995</v>
      </c>
      <c r="AE603" s="342">
        <v>0</v>
      </c>
      <c r="AF603" s="344">
        <f t="shared" si="97"/>
        <v>0</v>
      </c>
      <c r="AG603" s="342">
        <v>0</v>
      </c>
      <c r="AH603" s="344">
        <f t="shared" si="98"/>
        <v>0</v>
      </c>
      <c r="AI603" s="342">
        <v>0</v>
      </c>
      <c r="AJ603" s="344">
        <f t="shared" si="99"/>
        <v>0</v>
      </c>
      <c r="AK603" s="342">
        <v>0</v>
      </c>
      <c r="AL603" s="784">
        <f t="shared" si="100"/>
        <v>0</v>
      </c>
      <c r="AM603" s="350">
        <f>IFERROR(T603/(D603)*30,"0.00")</f>
        <v>21.39241818516566</v>
      </c>
      <c r="AN603" s="350">
        <f>IFERROR(U603/(F603)*30,"0.00")</f>
        <v>23.517850090897667</v>
      </c>
      <c r="AO603" s="350">
        <f>IFERROR(AD603/(E603)*30,"0.00")</f>
        <v>-4.4465712132629989</v>
      </c>
      <c r="AP603" s="639">
        <f t="shared" si="101"/>
        <v>0</v>
      </c>
    </row>
    <row r="604" spans="1:42" x14ac:dyDescent="0.2">
      <c r="A604" s="638">
        <v>42766</v>
      </c>
      <c r="B604" s="341" t="s">
        <v>133</v>
      </c>
      <c r="C604" s="351" t="s">
        <v>165</v>
      </c>
      <c r="D604" s="342">
        <v>0</v>
      </c>
      <c r="E604" s="342">
        <v>0</v>
      </c>
      <c r="F604" s="342">
        <v>0</v>
      </c>
      <c r="G604" s="342">
        <v>0</v>
      </c>
      <c r="H604" s="342">
        <v>0</v>
      </c>
      <c r="I604" s="342">
        <v>0</v>
      </c>
      <c r="J604" s="342">
        <v>0</v>
      </c>
      <c r="K604" s="343">
        <f t="shared" si="107"/>
        <v>0</v>
      </c>
      <c r="L604" s="342">
        <v>0</v>
      </c>
      <c r="M604" s="342">
        <v>-4</v>
      </c>
      <c r="N604" s="354">
        <v>0</v>
      </c>
      <c r="O604" s="343" t="str">
        <f t="shared" si="91"/>
        <v>$0.00</v>
      </c>
      <c r="P604" s="343" t="str">
        <f t="shared" si="92"/>
        <v>$0.00</v>
      </c>
      <c r="Q604" s="343" t="str">
        <f t="shared" si="93"/>
        <v>$0.00</v>
      </c>
      <c r="R604" s="344" t="str">
        <f t="shared" si="94"/>
        <v>0.00%</v>
      </c>
      <c r="S604" s="344">
        <f t="shared" si="95"/>
        <v>0</v>
      </c>
      <c r="T604" s="343">
        <f t="shared" si="96"/>
        <v>-81.61</v>
      </c>
      <c r="U604" s="342">
        <v>0</v>
      </c>
      <c r="V604" s="342">
        <v>0</v>
      </c>
      <c r="W604" s="344" t="str">
        <f t="shared" si="102"/>
        <v>0.00%</v>
      </c>
      <c r="X604" s="342">
        <v>0</v>
      </c>
      <c r="Y604" s="344" t="str">
        <f t="shared" si="103"/>
        <v>0.00%</v>
      </c>
      <c r="Z604" s="342">
        <v>0</v>
      </c>
      <c r="AA604" s="344">
        <f t="shared" si="104"/>
        <v>0</v>
      </c>
      <c r="AB604" s="342">
        <v>0</v>
      </c>
      <c r="AC604" s="344" t="str">
        <f t="shared" si="105"/>
        <v>0.00%</v>
      </c>
      <c r="AD604" s="342">
        <v>-81.61</v>
      </c>
      <c r="AE604" s="342">
        <v>0</v>
      </c>
      <c r="AF604" s="344">
        <f t="shared" si="97"/>
        <v>0</v>
      </c>
      <c r="AG604" s="342">
        <v>0</v>
      </c>
      <c r="AH604" s="344">
        <f t="shared" si="98"/>
        <v>0</v>
      </c>
      <c r="AI604" s="342">
        <v>0</v>
      </c>
      <c r="AJ604" s="344">
        <f t="shared" si="99"/>
        <v>0</v>
      </c>
      <c r="AK604" s="342">
        <v>-81.61</v>
      </c>
      <c r="AL604" s="784">
        <f t="shared" si="100"/>
        <v>1</v>
      </c>
      <c r="AM604" s="350">
        <v>0</v>
      </c>
      <c r="AN604" s="350">
        <v>0</v>
      </c>
      <c r="AO604" s="350">
        <v>0</v>
      </c>
      <c r="AP604" s="639">
        <f t="shared" si="101"/>
        <v>0</v>
      </c>
    </row>
    <row r="605" spans="1:42" x14ac:dyDescent="0.2">
      <c r="A605" s="638">
        <v>42766</v>
      </c>
      <c r="B605" s="341" t="s">
        <v>133</v>
      </c>
      <c r="C605" s="351" t="s">
        <v>166</v>
      </c>
      <c r="D605" s="342">
        <v>378228.92000649899</v>
      </c>
      <c r="E605" s="342">
        <v>22836</v>
      </c>
      <c r="F605" s="342">
        <v>355392.92000649899</v>
      </c>
      <c r="G605" s="342">
        <v>212335.36024701601</v>
      </c>
      <c r="H605" s="342">
        <v>104346.100076199</v>
      </c>
      <c r="I605" s="342">
        <v>107989.260170817</v>
      </c>
      <c r="J605" s="342">
        <v>14073.1100080013</v>
      </c>
      <c r="K605" s="343">
        <f t="shared" si="107"/>
        <v>198262.25023901471</v>
      </c>
      <c r="L605" s="342">
        <v>128187.00987009</v>
      </c>
      <c r="M605" s="342">
        <v>8489.0199791677296</v>
      </c>
      <c r="N605" s="354">
        <v>1613</v>
      </c>
      <c r="O605" s="343">
        <f t="shared" si="91"/>
        <v>234.48786113236142</v>
      </c>
      <c r="P605" s="343">
        <f t="shared" si="92"/>
        <v>149.75380666908944</v>
      </c>
      <c r="Q605" s="343">
        <f t="shared" si="93"/>
        <v>131.64002495165283</v>
      </c>
      <c r="R605" s="344">
        <f t="shared" si="94"/>
        <v>0.5613937724364586</v>
      </c>
      <c r="S605" s="344">
        <f t="shared" si="95"/>
        <v>0.93342520424325925</v>
      </c>
      <c r="T605" s="343">
        <f t="shared" si="96"/>
        <v>312291.02</v>
      </c>
      <c r="U605" s="342">
        <v>247606.34</v>
      </c>
      <c r="V605" s="342">
        <v>6559.75</v>
      </c>
      <c r="W605" s="344">
        <f t="shared" si="102"/>
        <v>2.6492657659735207E-2</v>
      </c>
      <c r="X605" s="342">
        <v>3560.97</v>
      </c>
      <c r="Y605" s="344">
        <f t="shared" si="103"/>
        <v>1.4381578436157975E-2</v>
      </c>
      <c r="Z605" s="342">
        <v>4196.9399999999996</v>
      </c>
      <c r="AA605" s="344">
        <f t="shared" si="104"/>
        <v>1.6950050632790741E-2</v>
      </c>
      <c r="AB605" s="342">
        <v>9039.98</v>
      </c>
      <c r="AC605" s="344">
        <f t="shared" si="105"/>
        <v>3.650948517715661E-2</v>
      </c>
      <c r="AD605" s="342">
        <v>64684.679999999993</v>
      </c>
      <c r="AE605" s="342">
        <v>4928.34</v>
      </c>
      <c r="AF605" s="344">
        <f t="shared" si="97"/>
        <v>7.6190220002634326E-2</v>
      </c>
      <c r="AG605" s="342">
        <v>6175.86</v>
      </c>
      <c r="AH605" s="344">
        <f t="shared" si="98"/>
        <v>9.5476394101354459E-2</v>
      </c>
      <c r="AI605" s="342">
        <v>3765.99</v>
      </c>
      <c r="AJ605" s="344">
        <f t="shared" si="99"/>
        <v>5.8220740985346145E-2</v>
      </c>
      <c r="AK605" s="342">
        <v>27517.37</v>
      </c>
      <c r="AL605" s="784">
        <f t="shared" si="100"/>
        <v>0.42540784000168202</v>
      </c>
      <c r="AM605" s="350">
        <f>IFERROR(T605/(D605+D554+D510)*90,"0.00")</f>
        <v>27.846782865841043</v>
      </c>
      <c r="AN605" s="350">
        <f>IFERROR(U605/(F605+F554+F510)*90,"0.00")</f>
        <v>23.423181279187887</v>
      </c>
      <c r="AO605" s="350">
        <f>IFERROR(AD605/(E605+E554+E510)*90,"0.00")</f>
        <v>100.50100473017297</v>
      </c>
      <c r="AP605" s="639">
        <f t="shared" si="101"/>
        <v>5.8260987888988904E-2</v>
      </c>
    </row>
    <row r="606" spans="1:42" x14ac:dyDescent="0.2">
      <c r="A606" s="638">
        <v>42766</v>
      </c>
      <c r="B606" s="341" t="s">
        <v>133</v>
      </c>
      <c r="C606" s="351" t="s">
        <v>167</v>
      </c>
      <c r="D606" s="342">
        <v>0</v>
      </c>
      <c r="E606" s="342">
        <v>0</v>
      </c>
      <c r="F606" s="342">
        <v>0</v>
      </c>
      <c r="G606" s="342">
        <v>90</v>
      </c>
      <c r="H606" s="342">
        <v>90</v>
      </c>
      <c r="I606" s="342">
        <v>0</v>
      </c>
      <c r="J606" s="342">
        <v>0</v>
      </c>
      <c r="K606" s="343">
        <f t="shared" si="107"/>
        <v>90</v>
      </c>
      <c r="L606" s="342">
        <v>0</v>
      </c>
      <c r="M606" s="342">
        <v>-65</v>
      </c>
      <c r="N606" s="354">
        <v>0</v>
      </c>
      <c r="O606" s="343" t="str">
        <f t="shared" si="91"/>
        <v>$0.00</v>
      </c>
      <c r="P606" s="343" t="str">
        <f t="shared" si="92"/>
        <v>$0.00</v>
      </c>
      <c r="Q606" s="343" t="str">
        <f t="shared" si="93"/>
        <v>$0.00</v>
      </c>
      <c r="R606" s="344" t="str">
        <f t="shared" si="94"/>
        <v>0.00%</v>
      </c>
      <c r="S606" s="344">
        <f t="shared" si="95"/>
        <v>1.3846153846153846</v>
      </c>
      <c r="T606" s="343">
        <f t="shared" si="96"/>
        <v>-318.58999999999997</v>
      </c>
      <c r="U606" s="342">
        <v>-283.58999999999997</v>
      </c>
      <c r="V606" s="342">
        <v>0</v>
      </c>
      <c r="W606" s="344">
        <v>0</v>
      </c>
      <c r="X606" s="342">
        <v>0</v>
      </c>
      <c r="Y606" s="344">
        <f t="shared" si="103"/>
        <v>0</v>
      </c>
      <c r="Z606" s="342">
        <v>0</v>
      </c>
      <c r="AA606" s="344">
        <f t="shared" si="104"/>
        <v>0</v>
      </c>
      <c r="AB606" s="342">
        <v>-283.58999999999997</v>
      </c>
      <c r="AC606" s="344">
        <v>0</v>
      </c>
      <c r="AD606" s="342">
        <v>-35</v>
      </c>
      <c r="AE606" s="342">
        <v>0</v>
      </c>
      <c r="AF606" s="344">
        <f t="shared" si="97"/>
        <v>0</v>
      </c>
      <c r="AG606" s="342">
        <v>0</v>
      </c>
      <c r="AH606" s="344">
        <f t="shared" si="98"/>
        <v>0</v>
      </c>
      <c r="AI606" s="342">
        <v>0</v>
      </c>
      <c r="AJ606" s="344">
        <f t="shared" si="99"/>
        <v>0</v>
      </c>
      <c r="AK606" s="342">
        <v>-35</v>
      </c>
      <c r="AL606" s="784">
        <f t="shared" si="100"/>
        <v>1</v>
      </c>
      <c r="AM606" s="350">
        <v>0</v>
      </c>
      <c r="AN606" s="350">
        <v>0</v>
      </c>
      <c r="AO606" s="350">
        <v>0</v>
      </c>
      <c r="AP606" s="639">
        <f t="shared" si="101"/>
        <v>0</v>
      </c>
    </row>
    <row r="607" spans="1:42" x14ac:dyDescent="0.2">
      <c r="A607" s="638">
        <v>42766</v>
      </c>
      <c r="B607" s="341" t="s">
        <v>133</v>
      </c>
      <c r="C607" s="351" t="s">
        <v>168</v>
      </c>
      <c r="D607" s="342">
        <v>0</v>
      </c>
      <c r="E607" s="342">
        <v>0</v>
      </c>
      <c r="F607" s="342">
        <v>0</v>
      </c>
      <c r="G607" s="342">
        <v>0</v>
      </c>
      <c r="H607" s="342">
        <v>0</v>
      </c>
      <c r="I607" s="342">
        <v>0</v>
      </c>
      <c r="J607" s="342">
        <v>0</v>
      </c>
      <c r="K607" s="343">
        <f t="shared" si="107"/>
        <v>0</v>
      </c>
      <c r="L607" s="342">
        <v>0</v>
      </c>
      <c r="M607" s="342">
        <v>0</v>
      </c>
      <c r="N607" s="354">
        <v>0</v>
      </c>
      <c r="O607" s="343" t="str">
        <f t="shared" si="91"/>
        <v>$0.00</v>
      </c>
      <c r="P607" s="343" t="str">
        <f t="shared" si="92"/>
        <v>$0.00</v>
      </c>
      <c r="Q607" s="343" t="str">
        <f t="shared" si="93"/>
        <v>$0.00</v>
      </c>
      <c r="R607" s="344" t="str">
        <f t="shared" si="94"/>
        <v>0.00%</v>
      </c>
      <c r="S607" s="344" t="str">
        <f t="shared" si="95"/>
        <v>0.00%</v>
      </c>
      <c r="T607" s="343">
        <f t="shared" si="96"/>
        <v>-10</v>
      </c>
      <c r="U607" s="342">
        <v>0</v>
      </c>
      <c r="V607" s="342">
        <v>0</v>
      </c>
      <c r="W607" s="344" t="str">
        <f t="shared" si="102"/>
        <v>0.00%</v>
      </c>
      <c r="X607" s="342">
        <v>0</v>
      </c>
      <c r="Y607" s="344" t="str">
        <f t="shared" si="103"/>
        <v>0.00%</v>
      </c>
      <c r="Z607" s="342">
        <v>0</v>
      </c>
      <c r="AA607" s="344">
        <f t="shared" si="104"/>
        <v>0</v>
      </c>
      <c r="AB607" s="342">
        <v>0</v>
      </c>
      <c r="AC607" s="344" t="str">
        <f t="shared" si="105"/>
        <v>0.00%</v>
      </c>
      <c r="AD607" s="342">
        <v>-10</v>
      </c>
      <c r="AE607" s="342">
        <v>0</v>
      </c>
      <c r="AF607" s="344">
        <f t="shared" si="97"/>
        <v>0</v>
      </c>
      <c r="AG607" s="342">
        <v>0</v>
      </c>
      <c r="AH607" s="344">
        <f t="shared" si="98"/>
        <v>0</v>
      </c>
      <c r="AI607" s="342">
        <v>0</v>
      </c>
      <c r="AJ607" s="344">
        <f t="shared" si="99"/>
        <v>0</v>
      </c>
      <c r="AK607" s="342">
        <v>-10</v>
      </c>
      <c r="AL607" s="784">
        <f t="shared" si="100"/>
        <v>1</v>
      </c>
      <c r="AM607" s="350">
        <v>0</v>
      </c>
      <c r="AN607" s="350">
        <v>0</v>
      </c>
      <c r="AO607" s="350">
        <v>0</v>
      </c>
      <c r="AP607" s="639" t="str">
        <f t="shared" si="101"/>
        <v>0.00%</v>
      </c>
    </row>
    <row r="608" spans="1:42" x14ac:dyDescent="0.2">
      <c r="A608" s="638">
        <v>42766</v>
      </c>
      <c r="B608" s="341" t="s">
        <v>133</v>
      </c>
      <c r="C608" s="351" t="s">
        <v>169</v>
      </c>
      <c r="D608" s="342">
        <v>290639.460014796</v>
      </c>
      <c r="E608" s="342">
        <v>17861</v>
      </c>
      <c r="F608" s="342">
        <v>272778.460014796</v>
      </c>
      <c r="G608" s="342">
        <v>169602.659935787</v>
      </c>
      <c r="H608" s="342">
        <v>92815.639806136503</v>
      </c>
      <c r="I608" s="342">
        <v>76787.020129650802</v>
      </c>
      <c r="J608" s="342">
        <v>9305.5600020885504</v>
      </c>
      <c r="K608" s="343">
        <f t="shared" si="107"/>
        <v>160297.09993369877</v>
      </c>
      <c r="L608" s="342">
        <v>102045.720155463</v>
      </c>
      <c r="M608" s="342">
        <v>6621.0799844395397</v>
      </c>
      <c r="N608" s="354">
        <v>1295</v>
      </c>
      <c r="O608" s="343">
        <f t="shared" si="91"/>
        <v>224.43201545544093</v>
      </c>
      <c r="P608" s="343">
        <f t="shared" si="92"/>
        <v>140.51942847482121</v>
      </c>
      <c r="Q608" s="343">
        <f t="shared" si="93"/>
        <v>130.96730496971995</v>
      </c>
      <c r="R608" s="344">
        <f t="shared" si="94"/>
        <v>0.58355001047398425</v>
      </c>
      <c r="S608" s="344">
        <f t="shared" si="95"/>
        <v>0.98225232288446951</v>
      </c>
      <c r="T608" s="343">
        <f t="shared" si="96"/>
        <v>245577.78999999998</v>
      </c>
      <c r="U608" s="342">
        <v>196019.08</v>
      </c>
      <c r="V608" s="342">
        <v>6757.81</v>
      </c>
      <c r="W608" s="344">
        <f t="shared" si="102"/>
        <v>3.4475266387333316E-2</v>
      </c>
      <c r="X608" s="342">
        <v>2854.64</v>
      </c>
      <c r="Y608" s="344">
        <f t="shared" si="103"/>
        <v>1.456307212542779E-2</v>
      </c>
      <c r="Z608" s="342">
        <v>2264.36</v>
      </c>
      <c r="AA608" s="344">
        <f t="shared" si="104"/>
        <v>1.1551732617049322E-2</v>
      </c>
      <c r="AB608" s="342">
        <v>15752.3</v>
      </c>
      <c r="AC608" s="344">
        <f t="shared" si="105"/>
        <v>8.0361054648353622E-2</v>
      </c>
      <c r="AD608" s="342">
        <v>49558.71</v>
      </c>
      <c r="AE608" s="342">
        <v>5010.6899999999996</v>
      </c>
      <c r="AF608" s="344">
        <f t="shared" si="97"/>
        <v>0.10110614259329995</v>
      </c>
      <c r="AG608" s="342">
        <v>3152.53</v>
      </c>
      <c r="AH608" s="344">
        <f t="shared" si="98"/>
        <v>6.3612027028145002E-2</v>
      </c>
      <c r="AI608" s="342">
        <v>3064.85</v>
      </c>
      <c r="AJ608" s="344">
        <f t="shared" si="99"/>
        <v>6.1842812292733203E-2</v>
      </c>
      <c r="AK608" s="342">
        <v>22113.09</v>
      </c>
      <c r="AL608" s="784">
        <f t="shared" si="100"/>
        <v>0.44619987081988211</v>
      </c>
      <c r="AM608" s="350">
        <f>IFERROR(T608/(D608+D553+D509)*90,"0.00")</f>
        <v>30.022369257103033</v>
      </c>
      <c r="AN608" s="350">
        <f>IFERROR(U608/(F608+F553+F509)*90,"0.00")</f>
        <v>25.349354825684028</v>
      </c>
      <c r="AO608" s="350">
        <f>IFERROR(AD608/(E608+E553+E509)*90,"0.00")</f>
        <v>110.83929077309212</v>
      </c>
      <c r="AP608" s="639">
        <f t="shared" si="101"/>
        <v>5.113713240486862E-2</v>
      </c>
    </row>
    <row r="609" spans="1:42" x14ac:dyDescent="0.2">
      <c r="A609" s="638">
        <v>42766</v>
      </c>
      <c r="B609" s="341" t="s">
        <v>136</v>
      </c>
      <c r="C609" s="351" t="s">
        <v>189</v>
      </c>
      <c r="D609" s="342">
        <v>167585.75000167801</v>
      </c>
      <c r="E609" s="342">
        <v>9591</v>
      </c>
      <c r="F609" s="342">
        <v>157994.75000167801</v>
      </c>
      <c r="G609" s="342">
        <v>92384.650119081096</v>
      </c>
      <c r="H609" s="342">
        <v>38307.999998748302</v>
      </c>
      <c r="I609" s="342">
        <v>54076.650120332801</v>
      </c>
      <c r="J609" s="342">
        <v>7098.3699921369598</v>
      </c>
      <c r="K609" s="343">
        <f t="shared" si="107"/>
        <v>85286.280126944155</v>
      </c>
      <c r="L609" s="342">
        <v>50894.740008115798</v>
      </c>
      <c r="M609" s="342">
        <v>2594.8399841785399</v>
      </c>
      <c r="N609" s="354">
        <v>698</v>
      </c>
      <c r="O609" s="343">
        <f t="shared" ref="O609:O672" si="108">IFERROR(SUM(E609:F609)/N609,"$0.00")</f>
        <v>240.09419771014041</v>
      </c>
      <c r="P609" s="343">
        <f t="shared" si="92"/>
        <v>163.46156161802818</v>
      </c>
      <c r="Q609" s="343">
        <f t="shared" si="93"/>
        <v>132.35623226229384</v>
      </c>
      <c r="R609" s="344">
        <f t="shared" si="94"/>
        <v>0.5512679336886106</v>
      </c>
      <c r="S609" s="344">
        <f t="shared" si="95"/>
        <v>0.86342569757686471</v>
      </c>
      <c r="T609" s="343">
        <f t="shared" si="96"/>
        <v>102225.51999999999</v>
      </c>
      <c r="U609" s="342">
        <v>81500.7</v>
      </c>
      <c r="V609" s="342">
        <v>2968.98</v>
      </c>
      <c r="W609" s="344">
        <f t="shared" si="102"/>
        <v>3.6428889567819665E-2</v>
      </c>
      <c r="X609" s="342">
        <v>1609.69</v>
      </c>
      <c r="Y609" s="344">
        <f t="shared" si="103"/>
        <v>1.9750627908717351E-2</v>
      </c>
      <c r="Z609" s="342">
        <v>995.07</v>
      </c>
      <c r="AA609" s="344">
        <f t="shared" si="104"/>
        <v>1.2209342987238147E-2</v>
      </c>
      <c r="AB609" s="342">
        <v>-610.16999999999996</v>
      </c>
      <c r="AC609" s="344">
        <f t="shared" si="105"/>
        <v>-7.4866841634489024E-3</v>
      </c>
      <c r="AD609" s="342">
        <v>20724.82</v>
      </c>
      <c r="AE609" s="342">
        <v>2557.8200000000002</v>
      </c>
      <c r="AF609" s="344">
        <f t="shared" si="97"/>
        <v>0.12341820097834386</v>
      </c>
      <c r="AG609" s="342">
        <v>2043.67</v>
      </c>
      <c r="AH609" s="344">
        <f t="shared" si="98"/>
        <v>9.8609782859392758E-2</v>
      </c>
      <c r="AI609" s="342">
        <v>940.31</v>
      </c>
      <c r="AJ609" s="344">
        <f t="shared" si="99"/>
        <v>4.5371202258933971E-2</v>
      </c>
      <c r="AK609" s="342">
        <v>8554.52</v>
      </c>
      <c r="AL609" s="784">
        <f t="shared" si="100"/>
        <v>0.41276691426029277</v>
      </c>
      <c r="AM609" s="350">
        <f>IFERROR(T609/(D609+D566+D522)*90,"0.00")</f>
        <v>22.031481827736851</v>
      </c>
      <c r="AN609" s="350">
        <f>IFERROR(U609/(F609+F566+F522)*90,"0.00")</f>
        <v>18.416908680591884</v>
      </c>
      <c r="AO609" s="350">
        <f>IFERROR(AD609/(E609+E566+E522)*90,"0.00")</f>
        <v>96.549189916662357</v>
      </c>
      <c r="AP609" s="639">
        <f t="shared" si="101"/>
        <v>6.2213919990067722E-2</v>
      </c>
    </row>
    <row r="610" spans="1:42" x14ac:dyDescent="0.2">
      <c r="A610" s="638">
        <v>42766</v>
      </c>
      <c r="B610" s="341" t="s">
        <v>137</v>
      </c>
      <c r="C610" s="351" t="s">
        <v>209</v>
      </c>
      <c r="D610" s="342">
        <v>106541.450002212</v>
      </c>
      <c r="E610" s="342">
        <v>6302</v>
      </c>
      <c r="F610" s="342">
        <v>100239.450002212</v>
      </c>
      <c r="G610" s="342">
        <v>60092.700073719003</v>
      </c>
      <c r="H610" s="342">
        <v>31387.6099977493</v>
      </c>
      <c r="I610" s="342">
        <v>28705.0900759697</v>
      </c>
      <c r="J610" s="342">
        <v>3453.12000834942</v>
      </c>
      <c r="K610" s="343">
        <f t="shared" si="107"/>
        <v>56639.580065369577</v>
      </c>
      <c r="L610" s="342">
        <v>37824.850037574797</v>
      </c>
      <c r="M610" s="342">
        <v>82.430000305175</v>
      </c>
      <c r="N610" s="354">
        <v>423</v>
      </c>
      <c r="O610" s="343">
        <f t="shared" si="108"/>
        <v>251.87104019435463</v>
      </c>
      <c r="P610" s="343">
        <f t="shared" si="92"/>
        <v>162.25572095586767</v>
      </c>
      <c r="Q610" s="343">
        <f t="shared" si="93"/>
        <v>142.06312074165248</v>
      </c>
      <c r="R610" s="344">
        <f t="shared" si="94"/>
        <v>0.56403118291023213</v>
      </c>
      <c r="S610" s="344">
        <f t="shared" si="95"/>
        <v>0.92193513474085143</v>
      </c>
      <c r="T610" s="343">
        <f t="shared" si="96"/>
        <v>73520.78</v>
      </c>
      <c r="U610" s="342">
        <v>58034.349999999991</v>
      </c>
      <c r="V610" s="342">
        <v>1249.67</v>
      </c>
      <c r="W610" s="344">
        <f t="shared" si="102"/>
        <v>2.1533281582373203E-2</v>
      </c>
      <c r="X610" s="342">
        <v>2284.9499999999998</v>
      </c>
      <c r="Y610" s="344">
        <f t="shared" si="103"/>
        <v>3.9372371707445682E-2</v>
      </c>
      <c r="Z610" s="342">
        <v>1472.31</v>
      </c>
      <c r="AA610" s="344">
        <f t="shared" si="104"/>
        <v>2.5369630227615198E-2</v>
      </c>
      <c r="AB610" s="342">
        <v>314.60000000000002</v>
      </c>
      <c r="AC610" s="344">
        <f t="shared" si="105"/>
        <v>5.4209274334941302E-3</v>
      </c>
      <c r="AD610" s="342">
        <v>15486.43</v>
      </c>
      <c r="AE610" s="342">
        <v>2166.0500000000002</v>
      </c>
      <c r="AF610" s="344">
        <f t="shared" si="97"/>
        <v>0.1398676131296884</v>
      </c>
      <c r="AG610" s="342">
        <v>1312.24</v>
      </c>
      <c r="AH610" s="344">
        <f t="shared" si="98"/>
        <v>8.4734829137509418E-2</v>
      </c>
      <c r="AI610" s="342">
        <v>751.98</v>
      </c>
      <c r="AJ610" s="344">
        <f t="shared" si="99"/>
        <v>4.855734988631983E-2</v>
      </c>
      <c r="AK610" s="342">
        <v>8121.53</v>
      </c>
      <c r="AL610" s="784">
        <f t="shared" si="100"/>
        <v>0.52442880638081213</v>
      </c>
      <c r="AM610" s="350">
        <f>IFERROR(T610/(D610+D577+D533)*90,"0.00")</f>
        <v>23.94460967840936</v>
      </c>
      <c r="AN610" s="350">
        <f>IFERROR(U610/(F610+F577+F533)*90,"0.00")</f>
        <v>19.968640645310824</v>
      </c>
      <c r="AO610" s="350">
        <f>IFERROR(AD610/(E610+E577+E533)*90,"0.00")</f>
        <v>94.327199512723325</v>
      </c>
      <c r="AP610" s="639">
        <f t="shared" si="101"/>
        <v>5.0311965747439583E-2</v>
      </c>
    </row>
    <row r="611" spans="1:42" x14ac:dyDescent="0.2">
      <c r="A611" s="638">
        <v>42766</v>
      </c>
      <c r="B611" s="341" t="s">
        <v>137</v>
      </c>
      <c r="C611" s="351" t="s">
        <v>197</v>
      </c>
      <c r="D611" s="342">
        <v>234298.87000417701</v>
      </c>
      <c r="E611" s="342">
        <v>11132</v>
      </c>
      <c r="F611" s="342">
        <v>223166.87000417701</v>
      </c>
      <c r="G611" s="342">
        <v>134995.44028066099</v>
      </c>
      <c r="H611" s="342">
        <v>61788.8900920749</v>
      </c>
      <c r="I611" s="342">
        <v>73206.550188586101</v>
      </c>
      <c r="J611" s="342">
        <v>9607.9900436401404</v>
      </c>
      <c r="K611" s="343">
        <f t="shared" si="107"/>
        <v>125387.45023702085</v>
      </c>
      <c r="L611" s="342">
        <v>76084.140002846703</v>
      </c>
      <c r="M611" s="342">
        <v>2280.6600017547598</v>
      </c>
      <c r="N611" s="354">
        <v>1040</v>
      </c>
      <c r="O611" s="343">
        <f t="shared" si="108"/>
        <v>225.28737500401635</v>
      </c>
      <c r="P611" s="343">
        <f t="shared" si="92"/>
        <v>149.93660576882266</v>
      </c>
      <c r="Q611" s="343">
        <f t="shared" si="93"/>
        <v>129.80330796217402</v>
      </c>
      <c r="R611" s="344">
        <f t="shared" si="94"/>
        <v>0.57616769674669932</v>
      </c>
      <c r="S611" s="344">
        <f t="shared" si="95"/>
        <v>0.92256582231488371</v>
      </c>
      <c r="T611" s="343">
        <f t="shared" si="96"/>
        <v>176667.01</v>
      </c>
      <c r="U611" s="342">
        <v>145558.1</v>
      </c>
      <c r="V611" s="342">
        <v>12732.78</v>
      </c>
      <c r="W611" s="344">
        <f t="shared" si="102"/>
        <v>8.7475585350454563E-2</v>
      </c>
      <c r="X611" s="342">
        <v>7484.82</v>
      </c>
      <c r="Y611" s="344">
        <f t="shared" si="103"/>
        <v>5.1421528585492662E-2</v>
      </c>
      <c r="Z611" s="342">
        <v>2565.6799999999998</v>
      </c>
      <c r="AA611" s="344">
        <f t="shared" si="104"/>
        <v>1.7626501032920874E-2</v>
      </c>
      <c r="AB611" s="342">
        <v>6325.48</v>
      </c>
      <c r="AC611" s="344">
        <f t="shared" si="105"/>
        <v>4.3456736519644039E-2</v>
      </c>
      <c r="AD611" s="342">
        <v>31108.910000000003</v>
      </c>
      <c r="AE611" s="342">
        <v>2266.85</v>
      </c>
      <c r="AF611" s="344">
        <f t="shared" si="97"/>
        <v>7.2868191138808769E-2</v>
      </c>
      <c r="AG611" s="342">
        <v>4051.53</v>
      </c>
      <c r="AH611" s="344">
        <f t="shared" si="98"/>
        <v>0.13023696426522174</v>
      </c>
      <c r="AI611" s="342">
        <v>2048.33</v>
      </c>
      <c r="AJ611" s="344">
        <f t="shared" si="99"/>
        <v>6.5843837022897936E-2</v>
      </c>
      <c r="AK611" s="342">
        <v>13173.62</v>
      </c>
      <c r="AL611" s="784">
        <f t="shared" si="100"/>
        <v>0.42346774605731924</v>
      </c>
      <c r="AM611" s="350">
        <f>IFERROR(T611/(D611+D578+D534)*90,"0.00")</f>
        <v>25.986814086611318</v>
      </c>
      <c r="AN611" s="350">
        <f>IFERROR(U611/(F611+F578+F534)*90,"0.00")</f>
        <v>22.500790304308371</v>
      </c>
      <c r="AO611" s="350">
        <f>IFERROR(AD611/(E611+E578+E534)*90,"0.00")</f>
        <v>94.466627302786975</v>
      </c>
      <c r="AP611" s="639">
        <f t="shared" si="101"/>
        <v>6.1615720308373229E-2</v>
      </c>
    </row>
    <row r="612" spans="1:42" x14ac:dyDescent="0.2">
      <c r="A612" s="638">
        <v>42766</v>
      </c>
      <c r="B612" s="341" t="s">
        <v>136</v>
      </c>
      <c r="C612" s="351" t="s">
        <v>190</v>
      </c>
      <c r="D612" s="342">
        <v>215000.08000329899</v>
      </c>
      <c r="E612" s="342">
        <v>12999</v>
      </c>
      <c r="F612" s="342">
        <v>202001.08000329899</v>
      </c>
      <c r="G612" s="342">
        <v>126497.97018083899</v>
      </c>
      <c r="H612" s="342">
        <v>54462.969989389203</v>
      </c>
      <c r="I612" s="342">
        <v>72035.000191450104</v>
      </c>
      <c r="J612" s="342">
        <v>7846.6100254058802</v>
      </c>
      <c r="K612" s="343">
        <f t="shared" si="107"/>
        <v>118651.36015543342</v>
      </c>
      <c r="L612" s="342">
        <v>70914.970105558605</v>
      </c>
      <c r="M612" s="342">
        <v>3868.5999946594202</v>
      </c>
      <c r="N612" s="354">
        <v>887</v>
      </c>
      <c r="O612" s="343">
        <f t="shared" si="108"/>
        <v>242.39016911307667</v>
      </c>
      <c r="P612" s="343">
        <f t="shared" si="92"/>
        <v>158.07949256266176</v>
      </c>
      <c r="Q612" s="343">
        <f t="shared" si="93"/>
        <v>142.61326965145355</v>
      </c>
      <c r="R612" s="344">
        <f t="shared" si="94"/>
        <v>0.58836243306931935</v>
      </c>
      <c r="S612" s="344">
        <f t="shared" si="95"/>
        <v>0.95563999291181667</v>
      </c>
      <c r="T612" s="343">
        <f t="shared" si="96"/>
        <v>130695.26999999999</v>
      </c>
      <c r="U612" s="342">
        <v>98852.319999999992</v>
      </c>
      <c r="V612" s="342">
        <v>4648.28</v>
      </c>
      <c r="W612" s="344">
        <f t="shared" si="102"/>
        <v>4.7022467454481597E-2</v>
      </c>
      <c r="X612" s="342">
        <v>2167.9699999999998</v>
      </c>
      <c r="Y612" s="344">
        <f t="shared" si="103"/>
        <v>2.1931402318124654E-2</v>
      </c>
      <c r="Z612" s="342">
        <v>1018.11</v>
      </c>
      <c r="AA612" s="344">
        <f t="shared" si="104"/>
        <v>1.0299303041142587E-2</v>
      </c>
      <c r="AB612" s="342">
        <v>1184.8499999999999</v>
      </c>
      <c r="AC612" s="344">
        <f t="shared" si="105"/>
        <v>1.1986061632139741E-2</v>
      </c>
      <c r="AD612" s="342">
        <v>31842.950000000004</v>
      </c>
      <c r="AE612" s="342">
        <v>2639.29</v>
      </c>
      <c r="AF612" s="344">
        <f t="shared" si="97"/>
        <v>8.2884594549185911E-2</v>
      </c>
      <c r="AG612" s="342">
        <v>2263</v>
      </c>
      <c r="AH612" s="344">
        <f t="shared" si="98"/>
        <v>7.1067536142222998E-2</v>
      </c>
      <c r="AI612" s="342">
        <v>2018.23</v>
      </c>
      <c r="AJ612" s="344">
        <f t="shared" si="99"/>
        <v>6.3380748328907957E-2</v>
      </c>
      <c r="AK612" s="342">
        <v>13384.12</v>
      </c>
      <c r="AL612" s="784">
        <f t="shared" si="100"/>
        <v>0.42031658498977009</v>
      </c>
      <c r="AM612" s="350">
        <f>IFERROR(T612/(D612+D568+D524)*90,"0.00")</f>
        <v>21.045291417350345</v>
      </c>
      <c r="AN612" s="350">
        <f>IFERROR(U612/(F612+F568+F524)*90,"0.00")</f>
        <v>16.953857813825955</v>
      </c>
      <c r="AO612" s="350">
        <f>IFERROR(AD612/(E612+E568+E524)*90,"0.00")</f>
        <v>83.902704013027403</v>
      </c>
      <c r="AP612" s="639">
        <f t="shared" si="101"/>
        <v>5.5960671327716933E-2</v>
      </c>
    </row>
    <row r="613" spans="1:42" x14ac:dyDescent="0.2">
      <c r="A613" s="638">
        <v>42766</v>
      </c>
      <c r="B613" s="341" t="s">
        <v>136</v>
      </c>
      <c r="C613" s="351" t="s">
        <v>191</v>
      </c>
      <c r="D613" s="342">
        <v>264906.64000392897</v>
      </c>
      <c r="E613" s="342">
        <v>10358</v>
      </c>
      <c r="F613" s="342">
        <v>254548.640003929</v>
      </c>
      <c r="G613" s="342">
        <v>137169.100326896</v>
      </c>
      <c r="H613" s="342">
        <v>69677.150111079201</v>
      </c>
      <c r="I613" s="342">
        <v>67491.950215816498</v>
      </c>
      <c r="J613" s="342">
        <v>10517.0400567055</v>
      </c>
      <c r="K613" s="343">
        <f t="shared" si="107"/>
        <v>126652.06027019021</v>
      </c>
      <c r="L613" s="342">
        <v>89754.550024226293</v>
      </c>
      <c r="M613" s="342">
        <v>4524.2299843393303</v>
      </c>
      <c r="N613" s="354">
        <v>1037</v>
      </c>
      <c r="O613" s="343">
        <f t="shared" si="108"/>
        <v>255.45481196135876</v>
      </c>
      <c r="P613" s="343">
        <f t="shared" si="92"/>
        <v>164.5398842771103</v>
      </c>
      <c r="Q613" s="343">
        <f t="shared" si="93"/>
        <v>132.27492799122055</v>
      </c>
      <c r="R613" s="344">
        <f t="shared" si="94"/>
        <v>0.51780166901388824</v>
      </c>
      <c r="S613" s="344">
        <f t="shared" si="95"/>
        <v>0.85671349618625603</v>
      </c>
      <c r="T613" s="343">
        <f t="shared" si="96"/>
        <v>187218.52</v>
      </c>
      <c r="U613" s="342">
        <v>146033.81</v>
      </c>
      <c r="V613" s="342">
        <v>4919.7700000000004</v>
      </c>
      <c r="W613" s="344">
        <f t="shared" si="102"/>
        <v>3.3689253194174693E-2</v>
      </c>
      <c r="X613" s="342">
        <v>1815.27</v>
      </c>
      <c r="Y613" s="344">
        <f t="shared" si="103"/>
        <v>1.2430477572282748E-2</v>
      </c>
      <c r="Z613" s="342">
        <v>2486.91</v>
      </c>
      <c r="AA613" s="344">
        <f t="shared" si="104"/>
        <v>1.702968648150726E-2</v>
      </c>
      <c r="AB613" s="342">
        <v>2955.14</v>
      </c>
      <c r="AC613" s="344">
        <f t="shared" si="105"/>
        <v>2.0235998773160818E-2</v>
      </c>
      <c r="AD613" s="342">
        <v>41184.71</v>
      </c>
      <c r="AE613" s="342">
        <v>2326.23</v>
      </c>
      <c r="AF613" s="344">
        <f t="shared" si="97"/>
        <v>5.6482854923586935E-2</v>
      </c>
      <c r="AG613" s="342">
        <v>3514.95</v>
      </c>
      <c r="AH613" s="344">
        <f t="shared" si="98"/>
        <v>8.5345993695233005E-2</v>
      </c>
      <c r="AI613" s="342">
        <v>2049.56</v>
      </c>
      <c r="AJ613" s="344">
        <f t="shared" si="99"/>
        <v>4.976507058080535E-2</v>
      </c>
      <c r="AK613" s="342">
        <v>17354.689999999999</v>
      </c>
      <c r="AL613" s="784">
        <f t="shared" si="100"/>
        <v>0.42138672337379574</v>
      </c>
      <c r="AM613" s="350">
        <f>IFERROR(T613/(D613+D567+D523)*90,"0.00")</f>
        <v>25.627610616779183</v>
      </c>
      <c r="AN613" s="350">
        <f>IFERROR(U613/(F613+F567+F523)*90,"0.00")</f>
        <v>20.767530369660694</v>
      </c>
      <c r="AO613" s="350">
        <f>IFERROR(AD613/(E613+E567+E523)*90,"0.00")</f>
        <v>150.57783149171271</v>
      </c>
      <c r="AP613" s="639">
        <f t="shared" si="101"/>
        <v>6.1637296845845055E-2</v>
      </c>
    </row>
    <row r="614" spans="1:42" x14ac:dyDescent="0.2">
      <c r="A614" s="638">
        <v>42766</v>
      </c>
      <c r="B614" s="341" t="s">
        <v>137</v>
      </c>
      <c r="C614" s="351" t="s">
        <v>199</v>
      </c>
      <c r="D614" s="342">
        <v>253233.490009859</v>
      </c>
      <c r="E614" s="342">
        <v>11858</v>
      </c>
      <c r="F614" s="342">
        <v>241375.490009859</v>
      </c>
      <c r="G614" s="342">
        <v>156976.37005058699</v>
      </c>
      <c r="H614" s="342">
        <v>82036.009915508301</v>
      </c>
      <c r="I614" s="342">
        <v>74940.360135078401</v>
      </c>
      <c r="J614" s="342">
        <v>9742.00004088879</v>
      </c>
      <c r="K614" s="343">
        <f t="shared" si="107"/>
        <v>147234.37000969792</v>
      </c>
      <c r="L614" s="342">
        <v>87870.300108723299</v>
      </c>
      <c r="M614" s="342">
        <v>4598.0499738454801</v>
      </c>
      <c r="N614" s="354">
        <v>1155</v>
      </c>
      <c r="O614" s="343">
        <f t="shared" si="108"/>
        <v>219.24977490031083</v>
      </c>
      <c r="P614" s="343">
        <f t="shared" si="92"/>
        <v>139.19059733964519</v>
      </c>
      <c r="Q614" s="343">
        <f t="shared" si="93"/>
        <v>135.91027710007506</v>
      </c>
      <c r="R614" s="344">
        <f t="shared" si="94"/>
        <v>0.6198878751956356</v>
      </c>
      <c r="S614" s="344">
        <f t="shared" si="95"/>
        <v>1.0394193245396914</v>
      </c>
      <c r="T614" s="343">
        <f t="shared" si="96"/>
        <v>185198.87</v>
      </c>
      <c r="U614" s="342">
        <v>145421.19999999998</v>
      </c>
      <c r="V614" s="342">
        <v>9398.5</v>
      </c>
      <c r="W614" s="344">
        <f t="shared" si="102"/>
        <v>6.4629503813749309E-2</v>
      </c>
      <c r="X614" s="342">
        <v>6024.45</v>
      </c>
      <c r="Y614" s="344">
        <f t="shared" si="103"/>
        <v>4.1427591025242544E-2</v>
      </c>
      <c r="Z614" s="342">
        <v>2362.61</v>
      </c>
      <c r="AA614" s="344">
        <f t="shared" si="104"/>
        <v>1.6246668298707481E-2</v>
      </c>
      <c r="AB614" s="342">
        <v>1960.78</v>
      </c>
      <c r="AC614" s="344">
        <f t="shared" si="105"/>
        <v>1.3483453581733614E-2</v>
      </c>
      <c r="AD614" s="342">
        <v>39777.67</v>
      </c>
      <c r="AE614" s="342">
        <v>3416.91</v>
      </c>
      <c r="AF614" s="344">
        <f t="shared" si="97"/>
        <v>8.5900204813404102E-2</v>
      </c>
      <c r="AG614" s="342">
        <v>3873.02</v>
      </c>
      <c r="AH614" s="344">
        <f t="shared" si="98"/>
        <v>9.7366688395775822E-2</v>
      </c>
      <c r="AI614" s="342">
        <v>3142.27</v>
      </c>
      <c r="AJ614" s="344">
        <f t="shared" si="99"/>
        <v>7.8995828564116508E-2</v>
      </c>
      <c r="AK614" s="342">
        <v>14592.44</v>
      </c>
      <c r="AL614" s="784">
        <f t="shared" si="100"/>
        <v>0.36685004425849982</v>
      </c>
      <c r="AM614" s="350">
        <f>IFERROR(T614/(D614+D579+D535)*90,"0.00")</f>
        <v>23.242687136378841</v>
      </c>
      <c r="AN614" s="350">
        <f>IFERROR(U614/(F614+F579+F535)*90,"0.00")</f>
        <v>19.096499002002759</v>
      </c>
      <c r="AO614" s="350">
        <f>IFERROR(AD614/(E614+E579+E535)*90,"0.00")</f>
        <v>112.69171178544448</v>
      </c>
      <c r="AP614" s="639">
        <f t="shared" si="101"/>
        <v>6.0597714437936219E-2</v>
      </c>
    </row>
    <row r="615" spans="1:42" x14ac:dyDescent="0.2">
      <c r="A615" s="638">
        <v>42766</v>
      </c>
      <c r="B615" s="341" t="s">
        <v>137</v>
      </c>
      <c r="C615" s="351" t="s">
        <v>200</v>
      </c>
      <c r="D615" s="342">
        <v>0</v>
      </c>
      <c r="E615" s="342">
        <v>0</v>
      </c>
      <c r="F615" s="342">
        <v>0</v>
      </c>
      <c r="G615" s="342">
        <v>0</v>
      </c>
      <c r="H615" s="342">
        <v>0</v>
      </c>
      <c r="I615" s="342">
        <v>0</v>
      </c>
      <c r="J615" s="342">
        <v>0</v>
      </c>
      <c r="K615" s="343">
        <f t="shared" si="107"/>
        <v>0</v>
      </c>
      <c r="L615" s="342">
        <v>0</v>
      </c>
      <c r="M615" s="342">
        <v>0</v>
      </c>
      <c r="N615" s="354">
        <v>0</v>
      </c>
      <c r="O615" s="343" t="str">
        <f t="shared" si="108"/>
        <v>$0.00</v>
      </c>
      <c r="P615" s="343" t="str">
        <f t="shared" si="92"/>
        <v>$0.00</v>
      </c>
      <c r="Q615" s="343" t="str">
        <f t="shared" si="93"/>
        <v>$0.00</v>
      </c>
      <c r="R615" s="344" t="str">
        <f t="shared" si="94"/>
        <v>0.00%</v>
      </c>
      <c r="S615" s="344" t="str">
        <f t="shared" si="95"/>
        <v>0.00%</v>
      </c>
      <c r="T615" s="343">
        <f t="shared" si="96"/>
        <v>-79.31</v>
      </c>
      <c r="U615" s="342">
        <v>-25</v>
      </c>
      <c r="V615" s="342">
        <v>0</v>
      </c>
      <c r="W615" s="344">
        <v>0</v>
      </c>
      <c r="X615" s="342">
        <v>0</v>
      </c>
      <c r="Y615" s="344">
        <f t="shared" si="103"/>
        <v>0</v>
      </c>
      <c r="Z615" s="342">
        <v>0</v>
      </c>
      <c r="AA615" s="344">
        <f t="shared" si="104"/>
        <v>0</v>
      </c>
      <c r="AB615" s="342">
        <v>-25</v>
      </c>
      <c r="AC615" s="344">
        <v>0</v>
      </c>
      <c r="AD615" s="342">
        <v>-54.31</v>
      </c>
      <c r="AE615" s="342">
        <v>0</v>
      </c>
      <c r="AF615" s="344">
        <f t="shared" si="97"/>
        <v>0</v>
      </c>
      <c r="AG615" s="342">
        <v>0</v>
      </c>
      <c r="AH615" s="344">
        <f t="shared" si="98"/>
        <v>0</v>
      </c>
      <c r="AI615" s="342">
        <v>0</v>
      </c>
      <c r="AJ615" s="344">
        <f t="shared" si="99"/>
        <v>0</v>
      </c>
      <c r="AK615" s="342">
        <v>-54.31</v>
      </c>
      <c r="AL615" s="784">
        <f t="shared" si="100"/>
        <v>1</v>
      </c>
      <c r="AM615" s="350">
        <v>0</v>
      </c>
      <c r="AN615" s="350">
        <v>0</v>
      </c>
      <c r="AO615" s="350">
        <v>0</v>
      </c>
      <c r="AP615" s="639" t="str">
        <f t="shared" si="101"/>
        <v>0.00%</v>
      </c>
    </row>
    <row r="616" spans="1:42" x14ac:dyDescent="0.2">
      <c r="A616" s="638">
        <v>42766</v>
      </c>
      <c r="B616" s="341" t="s">
        <v>137</v>
      </c>
      <c r="C616" s="351" t="s">
        <v>201</v>
      </c>
      <c r="D616" s="342">
        <v>285664.56000420998</v>
      </c>
      <c r="E616" s="342">
        <v>12282</v>
      </c>
      <c r="F616" s="342">
        <v>273382.56000420998</v>
      </c>
      <c r="G616" s="342">
        <v>156639.89023330799</v>
      </c>
      <c r="H616" s="342">
        <v>93559.440136700898</v>
      </c>
      <c r="I616" s="342">
        <v>63080.450096607201</v>
      </c>
      <c r="J616" s="342">
        <v>8775.2600219249707</v>
      </c>
      <c r="K616" s="343">
        <f t="shared" si="107"/>
        <v>147864.63021138313</v>
      </c>
      <c r="L616" s="342">
        <v>97853.450048908606</v>
      </c>
      <c r="M616" s="342">
        <v>5431.1300005372595</v>
      </c>
      <c r="N616" s="354">
        <v>1218</v>
      </c>
      <c r="O616" s="343">
        <f t="shared" si="108"/>
        <v>234.5357635502545</v>
      </c>
      <c r="P616" s="343">
        <f t="shared" si="92"/>
        <v>149.73725776253212</v>
      </c>
      <c r="Q616" s="343">
        <f t="shared" si="93"/>
        <v>128.60417917348778</v>
      </c>
      <c r="R616" s="344">
        <f t="shared" si="94"/>
        <v>0.54833504804025957</v>
      </c>
      <c r="S616" s="344">
        <f t="shared" si="95"/>
        <v>0.9022789835086622</v>
      </c>
      <c r="T616" s="343">
        <f t="shared" si="96"/>
        <v>258531.76</v>
      </c>
      <c r="U616" s="342">
        <v>203505.52000000002</v>
      </c>
      <c r="V616" s="342">
        <v>13987.18</v>
      </c>
      <c r="W616" s="344">
        <f t="shared" si="102"/>
        <v>6.8731206897975045E-2</v>
      </c>
      <c r="X616" s="342">
        <v>6532.6</v>
      </c>
      <c r="Y616" s="344">
        <f t="shared" si="103"/>
        <v>3.2100357769165179E-2</v>
      </c>
      <c r="Z616" s="342">
        <v>5392.67</v>
      </c>
      <c r="AA616" s="344">
        <f t="shared" si="104"/>
        <v>2.649888808912898E-2</v>
      </c>
      <c r="AB616" s="342">
        <v>8281.56</v>
      </c>
      <c r="AC616" s="344">
        <f t="shared" si="105"/>
        <v>4.0694522684200402E-2</v>
      </c>
      <c r="AD616" s="342">
        <v>55026.239999999991</v>
      </c>
      <c r="AE616" s="342">
        <v>5151.1899999999996</v>
      </c>
      <c r="AF616" s="344">
        <f t="shared" si="97"/>
        <v>9.3613337927505147E-2</v>
      </c>
      <c r="AG616" s="342">
        <v>4401.26</v>
      </c>
      <c r="AH616" s="344">
        <f t="shared" si="98"/>
        <v>7.9984749094250324E-2</v>
      </c>
      <c r="AI616" s="342">
        <v>2049.4899999999998</v>
      </c>
      <c r="AJ616" s="344">
        <f t="shared" si="99"/>
        <v>3.7245684967753566E-2</v>
      </c>
      <c r="AK616" s="342">
        <v>29368.55</v>
      </c>
      <c r="AL616" s="784">
        <f t="shared" si="100"/>
        <v>0.53371900387887672</v>
      </c>
      <c r="AM616" s="350">
        <f>IFERROR(T616/(D616+D580+D536)*90,"0.00")</f>
        <v>30.164325009873263</v>
      </c>
      <c r="AN616" s="350">
        <f>IFERROR(U616/(F616+F580+F536)*90,"0.00")</f>
        <v>24.689378300742543</v>
      </c>
      <c r="AO616" s="350">
        <f>IFERROR(AD616/(E616+E580+E536)*90,"0.00")</f>
        <v>167.68908001218972</v>
      </c>
      <c r="AP616" s="639">
        <f t="shared" si="101"/>
        <v>4.8115259274079898E-2</v>
      </c>
    </row>
    <row r="617" spans="1:42" x14ac:dyDescent="0.2">
      <c r="A617" s="638">
        <v>42766</v>
      </c>
      <c r="B617" s="341" t="s">
        <v>136</v>
      </c>
      <c r="C617" s="351" t="s">
        <v>192</v>
      </c>
      <c r="D617" s="342">
        <v>271530.82001476199</v>
      </c>
      <c r="E617" s="342">
        <v>12729</v>
      </c>
      <c r="F617" s="342">
        <v>258801.82001476199</v>
      </c>
      <c r="G617" s="342">
        <v>155358.120314837</v>
      </c>
      <c r="H617" s="342">
        <v>73667.960018634796</v>
      </c>
      <c r="I617" s="342">
        <v>81690.160296201706</v>
      </c>
      <c r="J617" s="342">
        <v>13093.670053482099</v>
      </c>
      <c r="K617" s="343">
        <f t="shared" si="107"/>
        <v>142264.45026135439</v>
      </c>
      <c r="L617" s="342">
        <v>83622.310020089106</v>
      </c>
      <c r="M617" s="342">
        <v>5335.4699821472204</v>
      </c>
      <c r="N617" s="354">
        <v>1295</v>
      </c>
      <c r="O617" s="343">
        <f t="shared" si="108"/>
        <v>209.67630889170809</v>
      </c>
      <c r="P617" s="343">
        <f t="shared" si="92"/>
        <v>140.98304248071483</v>
      </c>
      <c r="Q617" s="343">
        <f t="shared" si="93"/>
        <v>119.96766047477722</v>
      </c>
      <c r="R617" s="344">
        <f t="shared" si="94"/>
        <v>0.57215648782112594</v>
      </c>
      <c r="S617" s="344">
        <f t="shared" si="95"/>
        <v>0.91667865152189543</v>
      </c>
      <c r="T617" s="343">
        <f t="shared" si="96"/>
        <v>210272.88999999998</v>
      </c>
      <c r="U617" s="342">
        <v>148571.12999999998</v>
      </c>
      <c r="V617" s="342">
        <v>4203.96</v>
      </c>
      <c r="W617" s="344">
        <f t="shared" si="102"/>
        <v>2.8295941479343941E-2</v>
      </c>
      <c r="X617" s="342">
        <v>3068.74</v>
      </c>
      <c r="Y617" s="344">
        <f t="shared" si="103"/>
        <v>2.065502227788131E-2</v>
      </c>
      <c r="Z617" s="342">
        <v>1315.37</v>
      </c>
      <c r="AA617" s="344">
        <f t="shared" si="104"/>
        <v>8.8534697151458706E-3</v>
      </c>
      <c r="AB617" s="342">
        <v>4049.89</v>
      </c>
      <c r="AC617" s="344">
        <f t="shared" si="105"/>
        <v>2.7258929779964657E-2</v>
      </c>
      <c r="AD617" s="342">
        <v>61701.760000000002</v>
      </c>
      <c r="AE617" s="342">
        <v>6845.46</v>
      </c>
      <c r="AF617" s="344">
        <f t="shared" si="97"/>
        <v>0.1109443231441048</v>
      </c>
      <c r="AG617" s="342">
        <v>5452.07</v>
      </c>
      <c r="AH617" s="344">
        <f t="shared" si="98"/>
        <v>8.8361660996380001E-2</v>
      </c>
      <c r="AI617" s="342">
        <v>4583.59</v>
      </c>
      <c r="AJ617" s="344">
        <f t="shared" si="99"/>
        <v>7.4286211608874692E-2</v>
      </c>
      <c r="AK617" s="342">
        <v>26849.4</v>
      </c>
      <c r="AL617" s="784">
        <f t="shared" si="100"/>
        <v>0.43514804115798317</v>
      </c>
      <c r="AM617" s="350">
        <f>IFERROR(T617/(D617+D570+D526)*90,"0.00")</f>
        <v>27.626673577727288</v>
      </c>
      <c r="AN617" s="350">
        <f>IFERROR(U617/(F617+F570+F526)*90,"0.00")</f>
        <v>20.688181563489941</v>
      </c>
      <c r="AO617" s="350">
        <f>IFERROR(AD617/(E617+E570+E526)*90,"0.00")</f>
        <v>143.56665977249224</v>
      </c>
      <c r="AP617" s="639">
        <f t="shared" si="101"/>
        <v>7.1717434581709261E-2</v>
      </c>
    </row>
    <row r="618" spans="1:42" x14ac:dyDescent="0.2">
      <c r="A618" s="638">
        <v>42766</v>
      </c>
      <c r="B618" s="341" t="s">
        <v>135</v>
      </c>
      <c r="C618" s="351" t="s">
        <v>182</v>
      </c>
      <c r="D618" s="342">
        <v>0</v>
      </c>
      <c r="E618" s="342">
        <v>0</v>
      </c>
      <c r="F618" s="342">
        <v>0</v>
      </c>
      <c r="G618" s="342">
        <v>50</v>
      </c>
      <c r="H618" s="342">
        <v>0</v>
      </c>
      <c r="I618" s="342">
        <v>50</v>
      </c>
      <c r="J618" s="342">
        <v>0</v>
      </c>
      <c r="K618" s="343">
        <f t="shared" si="107"/>
        <v>50</v>
      </c>
      <c r="L618" s="342">
        <v>0</v>
      </c>
      <c r="M618" s="342">
        <v>-100</v>
      </c>
      <c r="N618" s="354">
        <v>0</v>
      </c>
      <c r="O618" s="343" t="str">
        <f t="shared" si="108"/>
        <v>$0.00</v>
      </c>
      <c r="P618" s="343" t="str">
        <f t="shared" si="92"/>
        <v>$0.00</v>
      </c>
      <c r="Q618" s="343" t="str">
        <f t="shared" si="93"/>
        <v>$0.00</v>
      </c>
      <c r="R618" s="344" t="str">
        <f t="shared" si="94"/>
        <v>0.00%</v>
      </c>
      <c r="S618" s="344">
        <f t="shared" si="95"/>
        <v>0.5</v>
      </c>
      <c r="T618" s="343">
        <f t="shared" si="96"/>
        <v>-285.58</v>
      </c>
      <c r="U618" s="342">
        <v>-285.58</v>
      </c>
      <c r="V618" s="342">
        <v>0</v>
      </c>
      <c r="W618" s="344">
        <v>0</v>
      </c>
      <c r="X618" s="342">
        <v>0</v>
      </c>
      <c r="Y618" s="344">
        <f t="shared" si="103"/>
        <v>0</v>
      </c>
      <c r="Z618" s="342">
        <v>0</v>
      </c>
      <c r="AA618" s="344">
        <f t="shared" si="104"/>
        <v>0</v>
      </c>
      <c r="AB618" s="342">
        <v>-285.58</v>
      </c>
      <c r="AC618" s="344">
        <v>0</v>
      </c>
      <c r="AD618" s="342">
        <v>0</v>
      </c>
      <c r="AE618" s="342">
        <v>0</v>
      </c>
      <c r="AF618" s="344" t="str">
        <f t="shared" si="97"/>
        <v>0.00%</v>
      </c>
      <c r="AG618" s="342">
        <v>0</v>
      </c>
      <c r="AH618" s="344" t="str">
        <f t="shared" si="98"/>
        <v>0.00%</v>
      </c>
      <c r="AI618" s="342">
        <v>0</v>
      </c>
      <c r="AJ618" s="344">
        <f t="shared" si="99"/>
        <v>0</v>
      </c>
      <c r="AK618" s="342">
        <v>0</v>
      </c>
      <c r="AL618" s="784" t="str">
        <f t="shared" si="100"/>
        <v>0.00%</v>
      </c>
      <c r="AM618" s="350">
        <v>0</v>
      </c>
      <c r="AN618" s="350">
        <v>0</v>
      </c>
      <c r="AO618" s="350">
        <v>0</v>
      </c>
      <c r="AP618" s="639">
        <f t="shared" si="101"/>
        <v>0</v>
      </c>
    </row>
    <row r="619" spans="1:42" x14ac:dyDescent="0.2">
      <c r="A619" s="638">
        <v>42766</v>
      </c>
      <c r="B619" s="341" t="s">
        <v>135</v>
      </c>
      <c r="C619" s="351" t="s">
        <v>183</v>
      </c>
      <c r="D619" s="342">
        <v>208496.5</v>
      </c>
      <c r="E619" s="342">
        <v>18153</v>
      </c>
      <c r="F619" s="342">
        <v>190343.5</v>
      </c>
      <c r="G619" s="342">
        <v>127729.840942979</v>
      </c>
      <c r="H619" s="342">
        <v>50724.820531487501</v>
      </c>
      <c r="I619" s="342">
        <v>77005.020411491394</v>
      </c>
      <c r="J619" s="342">
        <v>15845.690073609399</v>
      </c>
      <c r="K619" s="343">
        <f t="shared" si="107"/>
        <v>111884.15086936949</v>
      </c>
      <c r="L619" s="342">
        <v>67441.329286575303</v>
      </c>
      <c r="M619" s="342">
        <v>3506.1899958029398</v>
      </c>
      <c r="N619" s="354">
        <v>995</v>
      </c>
      <c r="O619" s="343">
        <f t="shared" si="108"/>
        <v>209.54422110552764</v>
      </c>
      <c r="P619" s="343">
        <f t="shared" si="92"/>
        <v>138.24018162575049</v>
      </c>
      <c r="Q619" s="343">
        <f t="shared" si="93"/>
        <v>128.37169944017978</v>
      </c>
      <c r="R619" s="344">
        <f t="shared" si="94"/>
        <v>0.61262342985603546</v>
      </c>
      <c r="S619" s="344">
        <f t="shared" si="95"/>
        <v>1.0495183841544142</v>
      </c>
      <c r="T619" s="343">
        <f t="shared" si="96"/>
        <v>143261.76999999999</v>
      </c>
      <c r="U619" s="342">
        <v>111534.85999999999</v>
      </c>
      <c r="V619" s="342">
        <v>4459.74</v>
      </c>
      <c r="W619" s="344">
        <f t="shared" si="102"/>
        <v>3.9985166969322417E-2</v>
      </c>
      <c r="X619" s="342">
        <v>2393.65</v>
      </c>
      <c r="Y619" s="344">
        <f t="shared" si="103"/>
        <v>2.1461003313224227E-2</v>
      </c>
      <c r="Z619" s="342">
        <v>1803.61</v>
      </c>
      <c r="AA619" s="344">
        <f t="shared" si="104"/>
        <v>1.6170818701883877E-2</v>
      </c>
      <c r="AB619" s="342">
        <v>11151.36</v>
      </c>
      <c r="AC619" s="344">
        <f t="shared" si="105"/>
        <v>9.9980938694861882E-2</v>
      </c>
      <c r="AD619" s="342">
        <v>31726.909999999996</v>
      </c>
      <c r="AE619" s="342">
        <v>4605.7</v>
      </c>
      <c r="AF619" s="344">
        <f t="shared" si="97"/>
        <v>0.14516698915841475</v>
      </c>
      <c r="AG619" s="342">
        <v>2188.9899999999998</v>
      </c>
      <c r="AH619" s="344">
        <f t="shared" si="98"/>
        <v>6.8994742948493878E-2</v>
      </c>
      <c r="AI619" s="342">
        <v>1882.34</v>
      </c>
      <c r="AJ619" s="344">
        <f t="shared" si="99"/>
        <v>5.9329446201978074E-2</v>
      </c>
      <c r="AK619" s="342">
        <v>11984.62</v>
      </c>
      <c r="AL619" s="784">
        <f t="shared" si="100"/>
        <v>0.37774305786475904</v>
      </c>
      <c r="AM619" s="350">
        <f>IFERROR(T619/(D619+D560+D516)*90,"0.00")</f>
        <v>22.843970032874541</v>
      </c>
      <c r="AN619" s="350">
        <f>IFERROR(U619/(F619+F560+F516)*90,"0.00")</f>
        <v>19.368828344709481</v>
      </c>
      <c r="AO619" s="350">
        <f>IFERROR(AD619/(E619+E560+E516)*90,"0.00")</f>
        <v>61.864587485917312</v>
      </c>
      <c r="AP619" s="639">
        <f t="shared" si="101"/>
        <v>0.11520034529473884</v>
      </c>
    </row>
    <row r="620" spans="1:42" x14ac:dyDescent="0.2">
      <c r="A620" s="638">
        <v>42766</v>
      </c>
      <c r="B620" s="341" t="s">
        <v>136</v>
      </c>
      <c r="C620" s="351" t="s">
        <v>193</v>
      </c>
      <c r="D620" s="342">
        <v>117138.090001583</v>
      </c>
      <c r="E620" s="342">
        <v>5789</v>
      </c>
      <c r="F620" s="342">
        <v>111349.090001583</v>
      </c>
      <c r="G620" s="342">
        <v>62936.930153966001</v>
      </c>
      <c r="H620" s="342">
        <v>29077.330011844599</v>
      </c>
      <c r="I620" s="342">
        <v>33859.6001421213</v>
      </c>
      <c r="J620" s="342">
        <v>3203.5199937820398</v>
      </c>
      <c r="K620" s="343">
        <f t="shared" si="107"/>
        <v>59733.410160183863</v>
      </c>
      <c r="L620" s="342">
        <v>48361.899997711203</v>
      </c>
      <c r="M620" s="342">
        <v>22.090000152586999</v>
      </c>
      <c r="N620" s="354">
        <v>482</v>
      </c>
      <c r="O620" s="343">
        <f t="shared" si="108"/>
        <v>243.0250829908361</v>
      </c>
      <c r="P620" s="343">
        <f t="shared" si="92"/>
        <v>142.64336100356684</v>
      </c>
      <c r="Q620" s="343">
        <f t="shared" si="93"/>
        <v>130.57454388789606</v>
      </c>
      <c r="R620" s="344">
        <f t="shared" si="94"/>
        <v>0.53728834193143638</v>
      </c>
      <c r="S620" s="344">
        <f t="shared" si="95"/>
        <v>0.96012773867790258</v>
      </c>
      <c r="T620" s="343">
        <f t="shared" si="96"/>
        <v>68670.600000000006</v>
      </c>
      <c r="U620" s="342">
        <v>57930.559999999998</v>
      </c>
      <c r="V620" s="342">
        <v>665.47</v>
      </c>
      <c r="W620" s="344">
        <f t="shared" si="102"/>
        <v>1.1487373848966764E-2</v>
      </c>
      <c r="X620" s="342">
        <v>841.4</v>
      </c>
      <c r="Y620" s="344">
        <f t="shared" si="103"/>
        <v>1.4524285627482283E-2</v>
      </c>
      <c r="Z620" s="342">
        <v>399.52</v>
      </c>
      <c r="AA620" s="344">
        <f t="shared" si="104"/>
        <v>6.8965326763628732E-3</v>
      </c>
      <c r="AB620" s="342">
        <v>-963.97</v>
      </c>
      <c r="AC620" s="344">
        <v>0</v>
      </c>
      <c r="AD620" s="342">
        <v>10740.04</v>
      </c>
      <c r="AE620" s="342">
        <v>916.82</v>
      </c>
      <c r="AF620" s="344">
        <f t="shared" si="97"/>
        <v>8.5364672757270915E-2</v>
      </c>
      <c r="AG620" s="342">
        <v>899.1</v>
      </c>
      <c r="AH620" s="344">
        <f t="shared" si="98"/>
        <v>8.3714772012022293E-2</v>
      </c>
      <c r="AI620" s="342">
        <v>677.53</v>
      </c>
      <c r="AJ620" s="344">
        <f t="shared" si="99"/>
        <v>6.3084495029813656E-2</v>
      </c>
      <c r="AK620" s="342">
        <v>1289.76</v>
      </c>
      <c r="AL620" s="784">
        <f t="shared" si="100"/>
        <v>0.120088938216245</v>
      </c>
      <c r="AM620" s="350">
        <f>IFERROR(T620/(D620+D569+D525)*90,"0.00")</f>
        <v>22.57300414547197</v>
      </c>
      <c r="AN620" s="350">
        <f>IFERROR(U620/(F620+F569+F525)*90,"0.00")</f>
        <v>20.008479641698209</v>
      </c>
      <c r="AO620" s="350">
        <f>IFERROR(AD620/(E620+E569+E525)*90,"0.00")</f>
        <v>73.13335855337823</v>
      </c>
      <c r="AP620" s="639">
        <f t="shared" si="101"/>
        <v>4.6593875763172629E-2</v>
      </c>
    </row>
    <row r="621" spans="1:42" x14ac:dyDescent="0.2">
      <c r="A621" s="638">
        <v>42766</v>
      </c>
      <c r="B621" s="341" t="s">
        <v>137</v>
      </c>
      <c r="C621" s="351" t="s">
        <v>202</v>
      </c>
      <c r="D621" s="342">
        <v>0</v>
      </c>
      <c r="E621" s="342">
        <v>0</v>
      </c>
      <c r="F621" s="342">
        <v>0</v>
      </c>
      <c r="G621" s="342">
        <v>0</v>
      </c>
      <c r="H621" s="342">
        <v>0</v>
      </c>
      <c r="I621" s="342">
        <v>0</v>
      </c>
      <c r="J621" s="342">
        <v>0</v>
      </c>
      <c r="K621" s="343">
        <f t="shared" si="107"/>
        <v>0</v>
      </c>
      <c r="L621" s="342">
        <v>0</v>
      </c>
      <c r="M621" s="342">
        <v>0</v>
      </c>
      <c r="N621" s="354">
        <v>0</v>
      </c>
      <c r="O621" s="343" t="str">
        <f t="shared" si="108"/>
        <v>$0.00</v>
      </c>
      <c r="P621" s="343" t="str">
        <f t="shared" si="92"/>
        <v>$0.00</v>
      </c>
      <c r="Q621" s="343" t="str">
        <f t="shared" si="93"/>
        <v>$0.00</v>
      </c>
      <c r="R621" s="344" t="str">
        <f t="shared" si="94"/>
        <v>0.00%</v>
      </c>
      <c r="S621" s="344" t="str">
        <f t="shared" si="95"/>
        <v>0.00%</v>
      </c>
      <c r="T621" s="343">
        <f t="shared" si="96"/>
        <v>-24</v>
      </c>
      <c r="U621" s="342">
        <v>0</v>
      </c>
      <c r="V621" s="342">
        <v>0</v>
      </c>
      <c r="W621" s="344" t="str">
        <f t="shared" si="102"/>
        <v>0.00%</v>
      </c>
      <c r="X621" s="342">
        <v>0</v>
      </c>
      <c r="Y621" s="344" t="str">
        <f t="shared" si="103"/>
        <v>0.00%</v>
      </c>
      <c r="Z621" s="342">
        <v>0</v>
      </c>
      <c r="AA621" s="344">
        <f t="shared" si="104"/>
        <v>0</v>
      </c>
      <c r="AB621" s="342">
        <v>0</v>
      </c>
      <c r="AC621" s="344" t="str">
        <f t="shared" si="105"/>
        <v>0.00%</v>
      </c>
      <c r="AD621" s="342">
        <v>-24</v>
      </c>
      <c r="AE621" s="342">
        <v>0</v>
      </c>
      <c r="AF621" s="344">
        <f t="shared" si="97"/>
        <v>0</v>
      </c>
      <c r="AG621" s="342">
        <v>0</v>
      </c>
      <c r="AH621" s="344">
        <f t="shared" si="98"/>
        <v>0</v>
      </c>
      <c r="AI621" s="342">
        <v>0</v>
      </c>
      <c r="AJ621" s="344">
        <f t="shared" si="99"/>
        <v>0</v>
      </c>
      <c r="AK621" s="342">
        <v>-24</v>
      </c>
      <c r="AL621" s="784">
        <f t="shared" si="100"/>
        <v>1</v>
      </c>
      <c r="AM621" s="350">
        <v>0</v>
      </c>
      <c r="AN621" s="350">
        <v>0</v>
      </c>
      <c r="AO621" s="350">
        <v>0</v>
      </c>
      <c r="AP621" s="639" t="str">
        <f t="shared" si="101"/>
        <v>0.00%</v>
      </c>
    </row>
    <row r="622" spans="1:42" x14ac:dyDescent="0.2">
      <c r="A622" s="638">
        <v>42766</v>
      </c>
      <c r="B622" s="341" t="s">
        <v>137</v>
      </c>
      <c r="C622" s="351" t="s">
        <v>203</v>
      </c>
      <c r="D622" s="342">
        <v>201397.94000368001</v>
      </c>
      <c r="E622" s="342">
        <v>10884</v>
      </c>
      <c r="F622" s="342">
        <v>190513.94000368001</v>
      </c>
      <c r="G622" s="342">
        <v>127559.010181993</v>
      </c>
      <c r="H622" s="342">
        <v>64706.930036872604</v>
      </c>
      <c r="I622" s="342">
        <v>62852.080145120599</v>
      </c>
      <c r="J622" s="342">
        <v>12161.540006637601</v>
      </c>
      <c r="K622" s="343">
        <f t="shared" si="107"/>
        <v>115397.4701753556</v>
      </c>
      <c r="L622" s="342">
        <v>75438.250101089507</v>
      </c>
      <c r="M622" s="342">
        <v>2429.6300012469301</v>
      </c>
      <c r="N622" s="354">
        <v>1031</v>
      </c>
      <c r="O622" s="343">
        <f t="shared" si="108"/>
        <v>195.34232784062075</v>
      </c>
      <c r="P622" s="343">
        <f t="shared" si="92"/>
        <v>119.81577100033324</v>
      </c>
      <c r="Q622" s="343">
        <f t="shared" si="93"/>
        <v>123.72357922598759</v>
      </c>
      <c r="R622" s="344">
        <f t="shared" si="94"/>
        <v>0.63336799859850801</v>
      </c>
      <c r="S622" s="344">
        <f t="shared" si="95"/>
        <v>1.1453776193002712</v>
      </c>
      <c r="T622" s="343">
        <f t="shared" si="96"/>
        <v>143491.85</v>
      </c>
      <c r="U622" s="342">
        <v>113553.22</v>
      </c>
      <c r="V622" s="342">
        <v>7735.75</v>
      </c>
      <c r="W622" s="344">
        <f t="shared" si="102"/>
        <v>6.8124444203343598E-2</v>
      </c>
      <c r="X622" s="342">
        <v>1411.5</v>
      </c>
      <c r="Y622" s="344">
        <f t="shared" si="103"/>
        <v>1.2430294799213972E-2</v>
      </c>
      <c r="Z622" s="342">
        <v>4573.28</v>
      </c>
      <c r="AA622" s="344">
        <f t="shared" si="104"/>
        <v>4.0274331278320419E-2</v>
      </c>
      <c r="AB622" s="342">
        <v>3383.5</v>
      </c>
      <c r="AC622" s="344">
        <f t="shared" si="105"/>
        <v>2.9796601100347483E-2</v>
      </c>
      <c r="AD622" s="342">
        <v>29938.629999999997</v>
      </c>
      <c r="AE622" s="342">
        <v>2663.74</v>
      </c>
      <c r="AF622" s="344">
        <f t="shared" si="97"/>
        <v>8.8973343135607744E-2</v>
      </c>
      <c r="AG622" s="342">
        <v>3030.35</v>
      </c>
      <c r="AH622" s="344">
        <f t="shared" si="98"/>
        <v>0.10121872644139028</v>
      </c>
      <c r="AI622" s="342">
        <v>1166.44</v>
      </c>
      <c r="AJ622" s="344">
        <f t="shared" si="99"/>
        <v>3.8961034623160785E-2</v>
      </c>
      <c r="AK622" s="342">
        <v>11825.55</v>
      </c>
      <c r="AL622" s="784">
        <f t="shared" si="100"/>
        <v>0.39499302406289133</v>
      </c>
      <c r="AM622" s="350">
        <f>IFERROR(T622/(D622+D581+D537)*90,"0.00")</f>
        <v>22.556904792050069</v>
      </c>
      <c r="AN622" s="350">
        <f>IFERROR(U622/(F622+F581+F537)*90,"0.00")</f>
        <v>18.879406584271841</v>
      </c>
      <c r="AO622" s="350">
        <f>IFERROR(AD622/(E622+E581+E537)*90,"0.00")</f>
        <v>86.361432692307687</v>
      </c>
      <c r="AP622" s="639">
        <f t="shared" si="101"/>
        <v>9.8450045408788198E-2</v>
      </c>
    </row>
    <row r="623" spans="1:42" x14ac:dyDescent="0.2">
      <c r="A623" s="638">
        <v>42766</v>
      </c>
      <c r="B623" s="341" t="s">
        <v>137</v>
      </c>
      <c r="C623" s="351" t="s">
        <v>204</v>
      </c>
      <c r="D623" s="342">
        <v>100758.56000854399</v>
      </c>
      <c r="E623" s="342">
        <v>5082</v>
      </c>
      <c r="F623" s="342">
        <v>95676.560008544504</v>
      </c>
      <c r="G623" s="342">
        <v>60323.100133895903</v>
      </c>
      <c r="H623" s="342">
        <v>29594.3400192261</v>
      </c>
      <c r="I623" s="342">
        <v>30728.7601146698</v>
      </c>
      <c r="J623" s="342">
        <v>2942.9100140333198</v>
      </c>
      <c r="K623" s="343">
        <f t="shared" si="107"/>
        <v>57380.190119862586</v>
      </c>
      <c r="L623" s="342">
        <v>35271.300025939898</v>
      </c>
      <c r="M623" s="342">
        <v>1533.04000508785</v>
      </c>
      <c r="N623" s="354">
        <v>469</v>
      </c>
      <c r="O623" s="343">
        <f t="shared" si="108"/>
        <v>214.8370149435917</v>
      </c>
      <c r="P623" s="343">
        <f t="shared" si="92"/>
        <v>136.36294238276494</v>
      </c>
      <c r="Q623" s="343">
        <f t="shared" si="93"/>
        <v>128.62068258826417</v>
      </c>
      <c r="R623" s="344">
        <f t="shared" si="94"/>
        <v>0.59868958159763697</v>
      </c>
      <c r="S623" s="344">
        <f t="shared" si="95"/>
        <v>0.98871996306915155</v>
      </c>
      <c r="T623" s="343">
        <f t="shared" si="96"/>
        <v>67556.44</v>
      </c>
      <c r="U623" s="342">
        <v>50820.72</v>
      </c>
      <c r="V623" s="342">
        <v>1225.6199999999999</v>
      </c>
      <c r="W623" s="344">
        <f t="shared" si="102"/>
        <v>2.4116541442151938E-2</v>
      </c>
      <c r="X623" s="342">
        <v>1707.92</v>
      </c>
      <c r="Y623" s="344">
        <f t="shared" si="103"/>
        <v>3.3606765114701245E-2</v>
      </c>
      <c r="Z623" s="342">
        <v>1033.6099999999999</v>
      </c>
      <c r="AA623" s="344">
        <f t="shared" si="104"/>
        <v>2.0338358055533252E-2</v>
      </c>
      <c r="AB623" s="342">
        <v>1606</v>
      </c>
      <c r="AC623" s="344">
        <f t="shared" si="105"/>
        <v>3.1601283885785168E-2</v>
      </c>
      <c r="AD623" s="342">
        <v>16735.72</v>
      </c>
      <c r="AE623" s="342">
        <v>940.75</v>
      </c>
      <c r="AF623" s="344">
        <f t="shared" si="97"/>
        <v>5.6212102018915223E-2</v>
      </c>
      <c r="AG623" s="342">
        <v>1118.31</v>
      </c>
      <c r="AH623" s="344">
        <f t="shared" si="98"/>
        <v>6.6821744149639206E-2</v>
      </c>
      <c r="AI623" s="342">
        <v>1777.24</v>
      </c>
      <c r="AJ623" s="344">
        <f t="shared" si="99"/>
        <v>0.1061944152985351</v>
      </c>
      <c r="AK623" s="342">
        <v>8031.93</v>
      </c>
      <c r="AL623" s="784">
        <f t="shared" si="100"/>
        <v>0.47992736494157406</v>
      </c>
      <c r="AM623" s="350">
        <f>IFERROR(T623/(D623+D582+D538)*90,"0.00")</f>
        <v>23.19953583126571</v>
      </c>
      <c r="AN623" s="350">
        <f>IFERROR(U623/(F623+F582+F538)*90,"0.00")</f>
        <v>18.783943925930974</v>
      </c>
      <c r="AO623" s="350">
        <f>IFERROR(AD623/(E623+E582+E538)*90,"0.00")</f>
        <v>81.070821895688695</v>
      </c>
      <c r="AP623" s="639">
        <f t="shared" si="101"/>
        <v>4.601588472297731E-2</v>
      </c>
    </row>
    <row r="624" spans="1:42" x14ac:dyDescent="0.2">
      <c r="A624" s="638">
        <v>42766</v>
      </c>
      <c r="B624" s="341" t="s">
        <v>135</v>
      </c>
      <c r="C624" s="351" t="s">
        <v>184</v>
      </c>
      <c r="D624" s="342">
        <v>0</v>
      </c>
      <c r="E624" s="342">
        <v>0</v>
      </c>
      <c r="F624" s="342">
        <v>0</v>
      </c>
      <c r="G624" s="342">
        <v>83.950000762938998</v>
      </c>
      <c r="H624" s="342">
        <v>83.950000762938998</v>
      </c>
      <c r="I624" s="342">
        <v>0</v>
      </c>
      <c r="J624" s="342">
        <v>0</v>
      </c>
      <c r="K624" s="343">
        <f t="shared" si="107"/>
        <v>83.950000762938998</v>
      </c>
      <c r="L624" s="342">
        <v>107.97999763488799</v>
      </c>
      <c r="M624" s="342">
        <v>-191.93000030517601</v>
      </c>
      <c r="N624" s="354">
        <v>0</v>
      </c>
      <c r="O624" s="343" t="str">
        <f t="shared" si="108"/>
        <v>$0.00</v>
      </c>
      <c r="P624" s="343" t="str">
        <f t="shared" si="92"/>
        <v>$0.00</v>
      </c>
      <c r="Q624" s="343" t="str">
        <f t="shared" si="93"/>
        <v>$0.00</v>
      </c>
      <c r="R624" s="344" t="str">
        <f t="shared" si="94"/>
        <v>0.00%</v>
      </c>
      <c r="S624" s="344">
        <f t="shared" si="95"/>
        <v>0.99999997727994094</v>
      </c>
      <c r="T624" s="343">
        <f t="shared" si="96"/>
        <v>-167</v>
      </c>
      <c r="U624" s="342">
        <v>-167</v>
      </c>
      <c r="V624" s="342">
        <v>0</v>
      </c>
      <c r="W624" s="344">
        <v>0</v>
      </c>
      <c r="X624" s="342">
        <v>0</v>
      </c>
      <c r="Y624" s="344">
        <f t="shared" si="103"/>
        <v>0</v>
      </c>
      <c r="Z624" s="342">
        <v>0</v>
      </c>
      <c r="AA624" s="344">
        <f t="shared" si="104"/>
        <v>0</v>
      </c>
      <c r="AB624" s="342">
        <v>-167</v>
      </c>
      <c r="AC624" s="344">
        <v>0</v>
      </c>
      <c r="AD624" s="342">
        <v>0</v>
      </c>
      <c r="AE624" s="342">
        <v>0</v>
      </c>
      <c r="AF624" s="344" t="str">
        <f t="shared" si="97"/>
        <v>0.00%</v>
      </c>
      <c r="AG624" s="342">
        <v>0</v>
      </c>
      <c r="AH624" s="344" t="str">
        <f t="shared" si="98"/>
        <v>0.00%</v>
      </c>
      <c r="AI624" s="342">
        <v>0</v>
      </c>
      <c r="AJ624" s="344">
        <f t="shared" si="99"/>
        <v>0</v>
      </c>
      <c r="AK624" s="342">
        <v>0</v>
      </c>
      <c r="AL624" s="784" t="str">
        <f t="shared" si="100"/>
        <v>0.00%</v>
      </c>
      <c r="AM624" s="350">
        <v>0</v>
      </c>
      <c r="AN624" s="350">
        <v>0</v>
      </c>
      <c r="AO624" s="350">
        <v>0</v>
      </c>
      <c r="AP624" s="639">
        <f t="shared" si="101"/>
        <v>0</v>
      </c>
    </row>
    <row r="625" spans="1:42" x14ac:dyDescent="0.2">
      <c r="A625" s="638">
        <v>42766</v>
      </c>
      <c r="B625" s="341" t="s">
        <v>135</v>
      </c>
      <c r="C625" s="351" t="s">
        <v>185</v>
      </c>
      <c r="D625" s="342">
        <v>157852.51999999999</v>
      </c>
      <c r="E625" s="342">
        <v>8250</v>
      </c>
      <c r="F625" s="342">
        <v>149602.51999999999</v>
      </c>
      <c r="G625" s="342">
        <v>84307.360663166299</v>
      </c>
      <c r="H625" s="342">
        <v>40749.020395448402</v>
      </c>
      <c r="I625" s="342">
        <v>43558.340267717802</v>
      </c>
      <c r="J625" s="342">
        <v>8685.0500178337097</v>
      </c>
      <c r="K625" s="343">
        <f t="shared" si="107"/>
        <v>75622.310645332502</v>
      </c>
      <c r="L625" s="342">
        <v>55907.069386253097</v>
      </c>
      <c r="M625" s="342">
        <v>2094.5900108665201</v>
      </c>
      <c r="N625" s="354">
        <v>735</v>
      </c>
      <c r="O625" s="343">
        <f t="shared" si="108"/>
        <v>214.76533333333333</v>
      </c>
      <c r="P625" s="343">
        <f t="shared" si="92"/>
        <v>135.85151102432701</v>
      </c>
      <c r="Q625" s="343">
        <f t="shared" si="93"/>
        <v>114.70389205872954</v>
      </c>
      <c r="R625" s="344">
        <f t="shared" si="94"/>
        <v>0.53408941880158911</v>
      </c>
      <c r="S625" s="344">
        <f t="shared" si="95"/>
        <v>0.92476949551737553</v>
      </c>
      <c r="T625" s="343">
        <f t="shared" si="96"/>
        <v>125234.13</v>
      </c>
      <c r="U625" s="342">
        <v>91004.63</v>
      </c>
      <c r="V625" s="342">
        <v>3059.11</v>
      </c>
      <c r="W625" s="344">
        <f t="shared" si="102"/>
        <v>3.3614883110892273E-2</v>
      </c>
      <c r="X625" s="342">
        <v>2372.62</v>
      </c>
      <c r="Y625" s="344">
        <f t="shared" si="103"/>
        <v>2.6071420761778822E-2</v>
      </c>
      <c r="Z625" s="342">
        <v>850.39</v>
      </c>
      <c r="AA625" s="344">
        <f t="shared" si="104"/>
        <v>9.3444696165458831E-3</v>
      </c>
      <c r="AB625" s="342">
        <v>8580.7900000000009</v>
      </c>
      <c r="AC625" s="344">
        <f t="shared" si="105"/>
        <v>9.4289598232529498E-2</v>
      </c>
      <c r="AD625" s="342">
        <v>34229.5</v>
      </c>
      <c r="AE625" s="342">
        <v>2973.13</v>
      </c>
      <c r="AF625" s="344">
        <f t="shared" si="97"/>
        <v>8.6858703749689598E-2</v>
      </c>
      <c r="AG625" s="342">
        <v>1937.87</v>
      </c>
      <c r="AH625" s="344">
        <f t="shared" si="98"/>
        <v>5.6614031756233654E-2</v>
      </c>
      <c r="AI625" s="342">
        <v>1410.29</v>
      </c>
      <c r="AJ625" s="344">
        <f t="shared" si="99"/>
        <v>4.1201010823996846E-2</v>
      </c>
      <c r="AK625" s="342">
        <v>11781.74</v>
      </c>
      <c r="AL625" s="784">
        <f t="shared" si="100"/>
        <v>0.34419842533487194</v>
      </c>
      <c r="AM625" s="350">
        <f>IFERROR(T625/(D625+D561+D517)*90,"0.00")</f>
        <v>25.87561980220968</v>
      </c>
      <c r="AN625" s="350">
        <f>IFERROR(U625/(F625+F561+F517)*90,"0.00")</f>
        <v>19.670838593633974</v>
      </c>
      <c r="AO625" s="350">
        <f>IFERROR(AD625/(E625+E561+E517)*90,"0.00")</f>
        <v>160.34221620777598</v>
      </c>
      <c r="AP625" s="639">
        <f t="shared" si="101"/>
        <v>8.698022195697705E-2</v>
      </c>
    </row>
    <row r="626" spans="1:42" x14ac:dyDescent="0.2">
      <c r="A626" s="638">
        <v>42766</v>
      </c>
      <c r="B626" s="341" t="s">
        <v>136</v>
      </c>
      <c r="C626" s="351" t="s">
        <v>304</v>
      </c>
      <c r="D626" s="342">
        <v>64472.130000114397</v>
      </c>
      <c r="E626" s="342">
        <v>4660</v>
      </c>
      <c r="F626" s="342">
        <v>59812.130000114397</v>
      </c>
      <c r="G626" s="342">
        <v>31900.719998359698</v>
      </c>
      <c r="H626" s="342">
        <v>14941.7499628067</v>
      </c>
      <c r="I626" s="342">
        <v>16958.970035553</v>
      </c>
      <c r="J626" s="342">
        <v>1503.9000039100599</v>
      </c>
      <c r="K626" s="343">
        <f t="shared" si="107"/>
        <v>30396.819994449641</v>
      </c>
      <c r="L626" s="342">
        <v>23236.8800296187</v>
      </c>
      <c r="M626" s="342">
        <v>0</v>
      </c>
      <c r="N626" s="354">
        <v>255</v>
      </c>
      <c r="O626" s="343">
        <f t="shared" si="108"/>
        <v>252.8318823533898</v>
      </c>
      <c r="P626" s="343">
        <f t="shared" si="92"/>
        <v>161.70686262939492</v>
      </c>
      <c r="Q626" s="343">
        <f t="shared" si="93"/>
        <v>125.1008627386655</v>
      </c>
      <c r="R626" s="344">
        <f t="shared" si="94"/>
        <v>0.49479860520046565</v>
      </c>
      <c r="S626" s="344">
        <f t="shared" si="95"/>
        <v>0.80291054860175759</v>
      </c>
      <c r="T626" s="343">
        <f t="shared" si="96"/>
        <v>38548.750000000007</v>
      </c>
      <c r="U626" s="342">
        <v>35596.670000000006</v>
      </c>
      <c r="V626" s="342">
        <v>0</v>
      </c>
      <c r="W626" s="344">
        <f t="shared" si="102"/>
        <v>0</v>
      </c>
      <c r="X626" s="342">
        <v>0</v>
      </c>
      <c r="Y626" s="344">
        <f t="shared" si="103"/>
        <v>0</v>
      </c>
      <c r="Z626" s="342">
        <v>0</v>
      </c>
      <c r="AA626" s="344">
        <f t="shared" si="104"/>
        <v>0</v>
      </c>
      <c r="AB626" s="342">
        <v>0</v>
      </c>
      <c r="AC626" s="344">
        <f t="shared" si="105"/>
        <v>0</v>
      </c>
      <c r="AD626" s="342">
        <v>2952.08</v>
      </c>
      <c r="AE626" s="342">
        <v>0</v>
      </c>
      <c r="AF626" s="344">
        <f t="shared" si="97"/>
        <v>0</v>
      </c>
      <c r="AG626" s="342">
        <v>0</v>
      </c>
      <c r="AH626" s="344">
        <f t="shared" si="98"/>
        <v>0</v>
      </c>
      <c r="AI626" s="342">
        <v>0</v>
      </c>
      <c r="AJ626" s="344">
        <f t="shared" si="99"/>
        <v>0</v>
      </c>
      <c r="AK626" s="342">
        <v>0</v>
      </c>
      <c r="AL626" s="784">
        <f t="shared" si="100"/>
        <v>0</v>
      </c>
      <c r="AM626" s="350">
        <f>IFERROR(T626/(D626+D571+D527)*90,"0.00")</f>
        <v>29.171914544511985</v>
      </c>
      <c r="AN626" s="350">
        <f>IFERROR(U626/(F626+F571+F527)*90,"0.00")</f>
        <v>28.995116617354096</v>
      </c>
      <c r="AO626" s="350">
        <f>IFERROR(AD626/(E626+E571+E626)*90,"0.00")</f>
        <v>23.585193075898804</v>
      </c>
      <c r="AP626" s="639">
        <f t="shared" si="101"/>
        <v>3.6471223164310097E-2</v>
      </c>
    </row>
    <row r="627" spans="1:42" x14ac:dyDescent="0.2">
      <c r="A627" s="638">
        <v>42766</v>
      </c>
      <c r="B627" s="341" t="s">
        <v>136</v>
      </c>
      <c r="C627" s="351" t="s">
        <v>310</v>
      </c>
      <c r="D627" s="342">
        <v>25406.880001068101</v>
      </c>
      <c r="E627" s="342">
        <v>1520</v>
      </c>
      <c r="F627" s="342">
        <v>23886.880001068101</v>
      </c>
      <c r="G627" s="342">
        <v>14320.4199762344</v>
      </c>
      <c r="H627" s="342">
        <v>7890.4899635314896</v>
      </c>
      <c r="I627" s="342">
        <v>6429.9300127029401</v>
      </c>
      <c r="J627" s="342">
        <v>503.72000455856301</v>
      </c>
      <c r="K627" s="343">
        <f t="shared" si="107"/>
        <v>13816.699971675866</v>
      </c>
      <c r="L627" s="342">
        <v>10320.2999801636</v>
      </c>
      <c r="M627" s="342">
        <v>0</v>
      </c>
      <c r="N627" s="354">
        <v>97</v>
      </c>
      <c r="O627" s="343">
        <f t="shared" si="108"/>
        <v>261.92659794915568</v>
      </c>
      <c r="P627" s="343">
        <f t="shared" si="92"/>
        <v>155.53175279282991</v>
      </c>
      <c r="Q627" s="343">
        <f t="shared" si="93"/>
        <v>147.63319563128277</v>
      </c>
      <c r="R627" s="344">
        <f t="shared" si="94"/>
        <v>0.5636433901223763</v>
      </c>
      <c r="S627" s="344">
        <f t="shared" si="95"/>
        <v>0.9820035274413017</v>
      </c>
      <c r="T627" s="343">
        <f t="shared" si="96"/>
        <v>12615.429999999998</v>
      </c>
      <c r="U627" s="342">
        <v>11566.189999999999</v>
      </c>
      <c r="V627" s="342">
        <v>0</v>
      </c>
      <c r="W627" s="344">
        <f t="shared" si="102"/>
        <v>0</v>
      </c>
      <c r="X627" s="342">
        <v>0</v>
      </c>
      <c r="Y627" s="344">
        <f t="shared" si="103"/>
        <v>0</v>
      </c>
      <c r="Z627" s="342">
        <v>0</v>
      </c>
      <c r="AA627" s="344">
        <f t="shared" si="104"/>
        <v>0</v>
      </c>
      <c r="AB627" s="342">
        <v>0</v>
      </c>
      <c r="AC627" s="344">
        <f t="shared" si="105"/>
        <v>0</v>
      </c>
      <c r="AD627" s="342">
        <v>1049.24</v>
      </c>
      <c r="AE627" s="342">
        <v>0</v>
      </c>
      <c r="AF627" s="344">
        <f t="shared" si="97"/>
        <v>0</v>
      </c>
      <c r="AG627" s="342">
        <v>0</v>
      </c>
      <c r="AH627" s="344">
        <f t="shared" si="98"/>
        <v>0</v>
      </c>
      <c r="AI627" s="342">
        <v>0</v>
      </c>
      <c r="AJ627" s="344">
        <f t="shared" si="99"/>
        <v>0</v>
      </c>
      <c r="AK627" s="342">
        <v>0</v>
      </c>
      <c r="AL627" s="784">
        <f t="shared" si="100"/>
        <v>0</v>
      </c>
      <c r="AM627" s="350">
        <f>IFERROR(T627/(D627+D595)*60,"0.00")</f>
        <v>15.720201171492205</v>
      </c>
      <c r="AN627" s="350">
        <f>IFERROR(U627/(F627+F595)*60,"0.00")</f>
        <v>15.143987283410773</v>
      </c>
      <c r="AO627" s="350">
        <f>IFERROR(AD627/(E627+E595)*60,"0.00")</f>
        <v>27.077161290322579</v>
      </c>
      <c r="AP627" s="639">
        <f t="shared" si="101"/>
        <v>3.3388614507767214E-2</v>
      </c>
    </row>
    <row r="628" spans="1:42" x14ac:dyDescent="0.2">
      <c r="A628" s="638">
        <v>42766</v>
      </c>
      <c r="B628" s="341" t="s">
        <v>136</v>
      </c>
      <c r="C628" s="351" t="s">
        <v>194</v>
      </c>
      <c r="D628" s="342">
        <v>170615.74000501601</v>
      </c>
      <c r="E628" s="342">
        <v>14353</v>
      </c>
      <c r="F628" s="342">
        <v>156262.74000501601</v>
      </c>
      <c r="G628" s="342">
        <v>90377.930163815603</v>
      </c>
      <c r="H628" s="342">
        <v>37300.220026493102</v>
      </c>
      <c r="I628" s="342">
        <v>53077.710137322501</v>
      </c>
      <c r="J628" s="342">
        <v>5308.6900143623398</v>
      </c>
      <c r="K628" s="343">
        <f t="shared" si="107"/>
        <v>85069.240149453268</v>
      </c>
      <c r="L628" s="342">
        <v>56778.529923915899</v>
      </c>
      <c r="M628" s="342">
        <v>3148.7699880599998</v>
      </c>
      <c r="N628" s="354">
        <v>669</v>
      </c>
      <c r="O628" s="343">
        <f t="shared" si="108"/>
        <v>255.03100150226607</v>
      </c>
      <c r="P628" s="343">
        <f t="shared" si="92"/>
        <v>165.45357263533649</v>
      </c>
      <c r="Q628" s="343">
        <f t="shared" si="93"/>
        <v>135.09406601467205</v>
      </c>
      <c r="R628" s="344">
        <f t="shared" si="94"/>
        <v>0.52971625103966691</v>
      </c>
      <c r="S628" s="344">
        <f t="shared" si="95"/>
        <v>0.85764039197605191</v>
      </c>
      <c r="T628" s="343">
        <f t="shared" si="96"/>
        <v>91749.74000000002</v>
      </c>
      <c r="U628" s="342">
        <v>67552.090000000011</v>
      </c>
      <c r="V628" s="342">
        <v>2110.62</v>
      </c>
      <c r="W628" s="344">
        <f t="shared" si="102"/>
        <v>3.1244333076889251E-2</v>
      </c>
      <c r="X628" s="342">
        <v>987.74</v>
      </c>
      <c r="Y628" s="344">
        <f t="shared" si="103"/>
        <v>1.4621901409712118E-2</v>
      </c>
      <c r="Z628" s="342">
        <v>41.05</v>
      </c>
      <c r="AA628" s="344">
        <f t="shared" si="104"/>
        <v>6.0767919985895314E-4</v>
      </c>
      <c r="AB628" s="342">
        <v>568.74</v>
      </c>
      <c r="AC628" s="344">
        <f t="shared" si="105"/>
        <v>8.4192805877656776E-3</v>
      </c>
      <c r="AD628" s="342">
        <v>24197.65</v>
      </c>
      <c r="AE628" s="342">
        <v>2642.82</v>
      </c>
      <c r="AF628" s="344">
        <f t="shared" si="97"/>
        <v>0.10921804390095732</v>
      </c>
      <c r="AG628" s="342">
        <v>974.5</v>
      </c>
      <c r="AH628" s="344">
        <f t="shared" si="98"/>
        <v>4.0272505801183169E-2</v>
      </c>
      <c r="AI628" s="342">
        <v>1179.32</v>
      </c>
      <c r="AJ628" s="344">
        <f t="shared" si="99"/>
        <v>4.8736964126681714E-2</v>
      </c>
      <c r="AK628" s="342">
        <v>8385.67</v>
      </c>
      <c r="AL628" s="784">
        <f t="shared" si="100"/>
        <v>0.34654894173607764</v>
      </c>
      <c r="AM628" s="350">
        <f>IFERROR(T628/(D628+D572+D528)*90,"0.00")</f>
        <v>20.068416298459706</v>
      </c>
      <c r="AN628" s="350">
        <f>IFERROR(U628/(F628+F572+F528)*90,"0.00")</f>
        <v>15.924573421801783</v>
      </c>
      <c r="AO628" s="350">
        <f>IFERROR(AD628/(E628+E572+E528)*90,"0.00")</f>
        <v>73.360792966381467</v>
      </c>
      <c r="AP628" s="639">
        <f t="shared" si="101"/>
        <v>4.796065433662336E-2</v>
      </c>
    </row>
    <row r="629" spans="1:42" x14ac:dyDescent="0.2">
      <c r="A629" s="638">
        <v>42766</v>
      </c>
      <c r="B629" s="341" t="s">
        <v>136</v>
      </c>
      <c r="C629" s="351" t="s">
        <v>195</v>
      </c>
      <c r="D629" s="342">
        <v>153998.68000555001</v>
      </c>
      <c r="E629" s="342">
        <v>4929</v>
      </c>
      <c r="F629" s="342">
        <v>149069.68000555001</v>
      </c>
      <c r="G629" s="342">
        <v>83154.730090618104</v>
      </c>
      <c r="H629" s="342">
        <v>41921.879987716697</v>
      </c>
      <c r="I629" s="342">
        <v>41232.850102901502</v>
      </c>
      <c r="J629" s="342">
        <v>4946.2100247144699</v>
      </c>
      <c r="K629" s="343">
        <f t="shared" si="107"/>
        <v>78208.520065903722</v>
      </c>
      <c r="L629" s="342">
        <v>50613.160079956098</v>
      </c>
      <c r="M629" s="342">
        <v>657.410004377365</v>
      </c>
      <c r="N629" s="354">
        <v>709</v>
      </c>
      <c r="O629" s="343">
        <f t="shared" si="108"/>
        <v>217.20547250430184</v>
      </c>
      <c r="P629" s="343">
        <f t="shared" si="92"/>
        <v>144.89155136983999</v>
      </c>
      <c r="Q629" s="343">
        <f t="shared" si="93"/>
        <v>117.28452763133737</v>
      </c>
      <c r="R629" s="344">
        <f t="shared" si="94"/>
        <v>0.53997040810753283</v>
      </c>
      <c r="S629" s="344">
        <f t="shared" si="95"/>
        <v>0.85041025157655858</v>
      </c>
      <c r="T629" s="343">
        <f t="shared" si="96"/>
        <v>105571.11</v>
      </c>
      <c r="U629" s="342">
        <v>84903.17</v>
      </c>
      <c r="V629" s="342">
        <v>2488.8200000000002</v>
      </c>
      <c r="W629" s="344">
        <f t="shared" si="102"/>
        <v>2.9313628690189074E-2</v>
      </c>
      <c r="X629" s="342">
        <v>2645.55</v>
      </c>
      <c r="Y629" s="344">
        <f t="shared" si="103"/>
        <v>3.1159613946098834E-2</v>
      </c>
      <c r="Z629" s="342">
        <v>1878.79</v>
      </c>
      <c r="AA629" s="344">
        <f t="shared" si="104"/>
        <v>2.2128620168127999E-2</v>
      </c>
      <c r="AB629" s="342">
        <v>767.11</v>
      </c>
      <c r="AC629" s="344">
        <f t="shared" si="105"/>
        <v>9.0351161211059614E-3</v>
      </c>
      <c r="AD629" s="342">
        <v>20667.939999999999</v>
      </c>
      <c r="AE629" s="342">
        <v>1907.98</v>
      </c>
      <c r="AF629" s="344">
        <f t="shared" si="97"/>
        <v>9.2315925051069447E-2</v>
      </c>
      <c r="AG629" s="342">
        <v>2550.63</v>
      </c>
      <c r="AH629" s="344">
        <f t="shared" si="98"/>
        <v>0.12340997699819141</v>
      </c>
      <c r="AI629" s="342">
        <v>1554.86</v>
      </c>
      <c r="AJ629" s="344">
        <f t="shared" si="99"/>
        <v>7.5230526119197172E-2</v>
      </c>
      <c r="AK629" s="342">
        <v>6785.64</v>
      </c>
      <c r="AL629" s="784">
        <f t="shared" si="100"/>
        <v>0.32831719077953586</v>
      </c>
      <c r="AM629" s="350">
        <f>IFERROR(T629/(D629+D573+D529)*90,"0.00")</f>
        <v>26.011299394973811</v>
      </c>
      <c r="AN629" s="350">
        <f>IFERROR(U629/(F629+F573+F529)*90,"0.00")</f>
        <v>21.642549242938049</v>
      </c>
      <c r="AO629" s="350">
        <f>IFERROR(AD629/(E629+E573+E529)*90,"0.00")</f>
        <v>152.31858827382902</v>
      </c>
      <c r="AP629" s="639">
        <f t="shared" si="101"/>
        <v>4.814855474813836E-2</v>
      </c>
    </row>
    <row r="630" spans="1:42" x14ac:dyDescent="0.2">
      <c r="A630" s="638">
        <v>42766</v>
      </c>
      <c r="B630" s="341" t="s">
        <v>136</v>
      </c>
      <c r="C630" s="351" t="s">
        <v>305</v>
      </c>
      <c r="D630" s="342">
        <v>72159.569999218002</v>
      </c>
      <c r="E630" s="342">
        <v>3319</v>
      </c>
      <c r="F630" s="342">
        <v>68840.569999218002</v>
      </c>
      <c r="G630" s="342">
        <v>40326.340043544798</v>
      </c>
      <c r="H630" s="342">
        <v>14792.7499551773</v>
      </c>
      <c r="I630" s="342">
        <v>25533.590088367499</v>
      </c>
      <c r="J630" s="342">
        <v>2463.0600110292398</v>
      </c>
      <c r="K630" s="343">
        <f t="shared" si="107"/>
        <v>37863.280032515555</v>
      </c>
      <c r="L630" s="342">
        <v>24163.200042724598</v>
      </c>
      <c r="M630" s="342">
        <v>0</v>
      </c>
      <c r="N630" s="354">
        <v>327</v>
      </c>
      <c r="O630" s="343">
        <f t="shared" si="108"/>
        <v>220.67146788751683</v>
      </c>
      <c r="P630" s="343">
        <f t="shared" si="92"/>
        <v>146.77788977520919</v>
      </c>
      <c r="Q630" s="343">
        <f t="shared" si="93"/>
        <v>123.3221408059474</v>
      </c>
      <c r="R630" s="344">
        <f t="shared" si="94"/>
        <v>0.55884950594885496</v>
      </c>
      <c r="S630" s="344">
        <f t="shared" si="95"/>
        <v>0.88564481896537239</v>
      </c>
      <c r="T630" s="343">
        <f t="shared" si="96"/>
        <v>47930.3</v>
      </c>
      <c r="U630" s="342">
        <v>45984.43</v>
      </c>
      <c r="V630" s="342">
        <v>1541.83</v>
      </c>
      <c r="W630" s="344">
        <f t="shared" si="102"/>
        <v>3.3529392448704919E-2</v>
      </c>
      <c r="X630" s="342">
        <v>2575.38</v>
      </c>
      <c r="Y630" s="344">
        <f t="shared" si="103"/>
        <v>5.6005478376050327E-2</v>
      </c>
      <c r="Z630" s="342">
        <v>1018.5</v>
      </c>
      <c r="AA630" s="344">
        <f t="shared" si="104"/>
        <v>2.2148801235548642E-2</v>
      </c>
      <c r="AB630" s="342">
        <v>0</v>
      </c>
      <c r="AC630" s="344">
        <f t="shared" si="105"/>
        <v>0</v>
      </c>
      <c r="AD630" s="342">
        <v>1945.87</v>
      </c>
      <c r="AE630" s="342">
        <v>689.39</v>
      </c>
      <c r="AF630" s="344">
        <f t="shared" si="97"/>
        <v>0.35428368801615728</v>
      </c>
      <c r="AG630" s="342">
        <v>1004.89</v>
      </c>
      <c r="AH630" s="344">
        <f t="shared" si="98"/>
        <v>0.516421960357064</v>
      </c>
      <c r="AI630" s="342">
        <v>387.35</v>
      </c>
      <c r="AJ630" s="344">
        <f t="shared" si="99"/>
        <v>0.19906263008320188</v>
      </c>
      <c r="AK630" s="342">
        <v>0</v>
      </c>
      <c r="AL630" s="784">
        <f t="shared" si="100"/>
        <v>0</v>
      </c>
      <c r="AM630" s="350">
        <f>IFERROR(T630/(D630+D574+D530)*90,"0.00")</f>
        <v>23.99778966025476</v>
      </c>
      <c r="AN630" s="350">
        <f>IFERROR(U630/(F630+F574+F530)*90,"0.00")</f>
        <v>24.313922530182008</v>
      </c>
      <c r="AO630" s="350">
        <f>IFERROR(AD630/(E630+E574+E530)*90,"0.00")</f>
        <v>18.357264150943394</v>
      </c>
      <c r="AP630" s="639">
        <f t="shared" si="101"/>
        <v>5.1317631172146876E-2</v>
      </c>
    </row>
    <row r="631" spans="1:42" x14ac:dyDescent="0.2">
      <c r="A631" s="638">
        <v>42766</v>
      </c>
      <c r="B631" s="341" t="s">
        <v>135</v>
      </c>
      <c r="C631" s="351" t="s">
        <v>179</v>
      </c>
      <c r="D631" s="342">
        <v>105711.02</v>
      </c>
      <c r="E631" s="342">
        <v>9721</v>
      </c>
      <c r="F631" s="342">
        <v>95990.019999999597</v>
      </c>
      <c r="G631" s="342">
        <v>63707.060506522699</v>
      </c>
      <c r="H631" s="342">
        <v>24020.680302143101</v>
      </c>
      <c r="I631" s="342">
        <v>39686.380204379602</v>
      </c>
      <c r="J631" s="342">
        <v>6524.0900378227198</v>
      </c>
      <c r="K631" s="343">
        <f t="shared" si="107"/>
        <v>57182.970468699976</v>
      </c>
      <c r="L631" s="342">
        <v>31138.5296058655</v>
      </c>
      <c r="M631" s="342">
        <v>580.38999617099796</v>
      </c>
      <c r="N631" s="354">
        <v>495</v>
      </c>
      <c r="O631" s="343">
        <f t="shared" si="108"/>
        <v>213.55761616161536</v>
      </c>
      <c r="P631" s="343">
        <f t="shared" si="92"/>
        <v>149.47899070295577</v>
      </c>
      <c r="Q631" s="343">
        <f t="shared" si="93"/>
        <v>128.7011323364095</v>
      </c>
      <c r="R631" s="344">
        <f t="shared" si="94"/>
        <v>0.60265297323328204</v>
      </c>
      <c r="S631" s="344">
        <f t="shared" si="95"/>
        <v>0.94425580606954396</v>
      </c>
      <c r="T631" s="343">
        <f t="shared" si="96"/>
        <v>80656.91</v>
      </c>
      <c r="U631" s="342">
        <v>57451.710000000006</v>
      </c>
      <c r="V631" s="342">
        <v>3558.9</v>
      </c>
      <c r="W631" s="344">
        <f t="shared" si="102"/>
        <v>6.1945936857231917E-2</v>
      </c>
      <c r="X631" s="342">
        <v>748.93</v>
      </c>
      <c r="Y631" s="344">
        <f t="shared" si="103"/>
        <v>1.3035817384721879E-2</v>
      </c>
      <c r="Z631" s="342">
        <v>2204.1999999999998</v>
      </c>
      <c r="AA631" s="344">
        <f t="shared" si="104"/>
        <v>3.8366133923602962E-2</v>
      </c>
      <c r="AB631" s="342">
        <v>6881.37</v>
      </c>
      <c r="AC631" s="344">
        <f t="shared" si="105"/>
        <v>0.11977659150615359</v>
      </c>
      <c r="AD631" s="342">
        <v>23205.200000000004</v>
      </c>
      <c r="AE631" s="342">
        <v>1839.79</v>
      </c>
      <c r="AF631" s="344">
        <f t="shared" si="97"/>
        <v>7.9283522658714412E-2</v>
      </c>
      <c r="AG631" s="342">
        <v>3083.8</v>
      </c>
      <c r="AH631" s="344">
        <f t="shared" si="98"/>
        <v>0.13289262751452258</v>
      </c>
      <c r="AI631" s="342">
        <v>1440.36</v>
      </c>
      <c r="AJ631" s="344">
        <f t="shared" si="99"/>
        <v>6.2070570389395466E-2</v>
      </c>
      <c r="AK631" s="342">
        <v>9423.76</v>
      </c>
      <c r="AL631" s="784">
        <f t="shared" si="100"/>
        <v>0.4061055280712943</v>
      </c>
      <c r="AM631" s="350">
        <f>IFERROR(T631/(D631+D562+D518)*90,"0.00")</f>
        <v>25.425799330722995</v>
      </c>
      <c r="AN631" s="350">
        <f>IFERROR(U631/(F631+F562+F518)*90,"0.00")</f>
        <v>20.059393512274255</v>
      </c>
      <c r="AO631" s="350">
        <f>IFERROR(AD631/(E631+E562+E518)*90,"0.00")</f>
        <v>75.300811249323971</v>
      </c>
      <c r="AP631" s="639">
        <f t="shared" si="101"/>
        <v>8.8172791456563149E-2</v>
      </c>
    </row>
    <row r="632" spans="1:42" x14ac:dyDescent="0.2">
      <c r="A632" s="638">
        <v>42766</v>
      </c>
      <c r="B632" s="341" t="s">
        <v>137</v>
      </c>
      <c r="C632" s="351" t="s">
        <v>205</v>
      </c>
      <c r="D632" s="342">
        <v>0</v>
      </c>
      <c r="E632" s="342">
        <v>0</v>
      </c>
      <c r="F632" s="342">
        <v>0</v>
      </c>
      <c r="G632" s="342">
        <v>5</v>
      </c>
      <c r="H632" s="342">
        <v>0</v>
      </c>
      <c r="I632" s="342">
        <v>5</v>
      </c>
      <c r="J632" s="342">
        <v>0</v>
      </c>
      <c r="K632" s="343">
        <f t="shared" si="107"/>
        <v>5</v>
      </c>
      <c r="L632" s="342">
        <v>0</v>
      </c>
      <c r="M632" s="342">
        <v>-64.510000467300003</v>
      </c>
      <c r="N632" s="354">
        <v>0</v>
      </c>
      <c r="O632" s="343" t="str">
        <f t="shared" si="108"/>
        <v>$0.00</v>
      </c>
      <c r="P632" s="343" t="str">
        <f t="shared" si="92"/>
        <v>$0.00</v>
      </c>
      <c r="Q632" s="343" t="str">
        <f t="shared" si="93"/>
        <v>$0.00</v>
      </c>
      <c r="R632" s="344" t="str">
        <f t="shared" si="94"/>
        <v>0.00%</v>
      </c>
      <c r="S632" s="344">
        <f t="shared" si="95"/>
        <v>7.7507362638053162E-2</v>
      </c>
      <c r="T632" s="343">
        <f t="shared" si="96"/>
        <v>-83.91</v>
      </c>
      <c r="U632" s="342">
        <v>0</v>
      </c>
      <c r="V632" s="342">
        <v>0</v>
      </c>
      <c r="W632" s="344" t="str">
        <f t="shared" si="102"/>
        <v>0.00%</v>
      </c>
      <c r="X632" s="342">
        <v>0</v>
      </c>
      <c r="Y632" s="344" t="str">
        <f t="shared" si="103"/>
        <v>0.00%</v>
      </c>
      <c r="Z632" s="342">
        <v>0</v>
      </c>
      <c r="AA632" s="344">
        <f t="shared" si="104"/>
        <v>0</v>
      </c>
      <c r="AB632" s="342">
        <v>0</v>
      </c>
      <c r="AC632" s="344" t="str">
        <f t="shared" si="105"/>
        <v>0.00%</v>
      </c>
      <c r="AD632" s="342">
        <v>-83.91</v>
      </c>
      <c r="AE632" s="342">
        <v>0</v>
      </c>
      <c r="AF632" s="344">
        <f t="shared" si="97"/>
        <v>0</v>
      </c>
      <c r="AG632" s="342">
        <v>0</v>
      </c>
      <c r="AH632" s="344">
        <f t="shared" si="98"/>
        <v>0</v>
      </c>
      <c r="AI632" s="342">
        <v>0</v>
      </c>
      <c r="AJ632" s="344">
        <f t="shared" si="99"/>
        <v>0</v>
      </c>
      <c r="AK632" s="342">
        <v>-83.91</v>
      </c>
      <c r="AL632" s="784">
        <f t="shared" si="100"/>
        <v>1</v>
      </c>
      <c r="AM632" s="350">
        <v>0</v>
      </c>
      <c r="AN632" s="350">
        <v>0</v>
      </c>
      <c r="AO632" s="350">
        <v>0</v>
      </c>
      <c r="AP632" s="639">
        <f t="shared" si="101"/>
        <v>0</v>
      </c>
    </row>
    <row r="633" spans="1:42" x14ac:dyDescent="0.2">
      <c r="A633" s="638">
        <v>42766</v>
      </c>
      <c r="B633" s="341" t="s">
        <v>137</v>
      </c>
      <c r="C633" s="351" t="s">
        <v>206</v>
      </c>
      <c r="D633" s="342">
        <v>194874.660009496</v>
      </c>
      <c r="E633" s="342">
        <v>11302</v>
      </c>
      <c r="F633" s="342">
        <v>183572.660009496</v>
      </c>
      <c r="G633" s="342">
        <v>111977.800190935</v>
      </c>
      <c r="H633" s="342">
        <v>55216.4000880811</v>
      </c>
      <c r="I633" s="342">
        <v>56761.400102853797</v>
      </c>
      <c r="J633" s="342">
        <v>7025.2100163698196</v>
      </c>
      <c r="K633" s="343">
        <f t="shared" si="107"/>
        <v>104952.59017456508</v>
      </c>
      <c r="L633" s="342">
        <v>64665.739953994802</v>
      </c>
      <c r="M633" s="342">
        <v>3608.7899924516701</v>
      </c>
      <c r="N633" s="354">
        <v>864</v>
      </c>
      <c r="O633" s="343">
        <f t="shared" si="108"/>
        <v>225.54937501099073</v>
      </c>
      <c r="P633" s="343">
        <f t="shared" si="92"/>
        <v>146.52792831371474</v>
      </c>
      <c r="Q633" s="343">
        <f t="shared" si="93"/>
        <v>129.60393540617466</v>
      </c>
      <c r="R633" s="344">
        <f t="shared" si="94"/>
        <v>0.57461447365952223</v>
      </c>
      <c r="S633" s="344">
        <f t="shared" si="95"/>
        <v>0.93646560789855393</v>
      </c>
      <c r="T633" s="343">
        <f t="shared" si="96"/>
        <v>167365.63</v>
      </c>
      <c r="U633" s="342">
        <v>139619.76</v>
      </c>
      <c r="V633" s="342">
        <v>7590.87</v>
      </c>
      <c r="W633" s="344">
        <f t="shared" si="102"/>
        <v>5.4368163933242682E-2</v>
      </c>
      <c r="X633" s="342">
        <v>5329.79</v>
      </c>
      <c r="Y633" s="344">
        <f t="shared" si="103"/>
        <v>3.8173608091003737E-2</v>
      </c>
      <c r="Z633" s="342">
        <v>5600.53</v>
      </c>
      <c r="AA633" s="344">
        <f t="shared" si="104"/>
        <v>4.0112731894110111E-2</v>
      </c>
      <c r="AB633" s="342">
        <v>6146.6</v>
      </c>
      <c r="AC633" s="344">
        <f t="shared" si="105"/>
        <v>4.4023854503116175E-2</v>
      </c>
      <c r="AD633" s="342">
        <v>27745.870000000003</v>
      </c>
      <c r="AE633" s="342">
        <v>2857.42</v>
      </c>
      <c r="AF633" s="344">
        <f t="shared" si="97"/>
        <v>0.10298541728913167</v>
      </c>
      <c r="AG633" s="342">
        <v>2569.0300000000002</v>
      </c>
      <c r="AH633" s="344">
        <f t="shared" si="98"/>
        <v>9.2591437932924792E-2</v>
      </c>
      <c r="AI633" s="342">
        <v>2656.83</v>
      </c>
      <c r="AJ633" s="344">
        <f t="shared" si="99"/>
        <v>9.5755872856032251E-2</v>
      </c>
      <c r="AK633" s="342">
        <v>10745.64</v>
      </c>
      <c r="AL633" s="784">
        <f t="shared" si="100"/>
        <v>0.38728790987631667</v>
      </c>
      <c r="AM633" s="350">
        <f>IFERROR(T633/(D633+D583+D539)*90,"0.00")</f>
        <v>28.3411592634572</v>
      </c>
      <c r="AN633" s="350">
        <f>IFERROR(U633/(F633+F583+F539)*90,"0.00")</f>
        <v>24.963393395620617</v>
      </c>
      <c r="AO633" s="350">
        <f>IFERROR(AD633/(E633+E583+E539)*90,"0.00")</f>
        <v>88.812046093110936</v>
      </c>
      <c r="AP633" s="639">
        <f t="shared" si="101"/>
        <v>5.5491333325416947E-2</v>
      </c>
    </row>
    <row r="634" spans="1:42" x14ac:dyDescent="0.2">
      <c r="A634" s="638">
        <v>42766</v>
      </c>
      <c r="B634" s="341" t="s">
        <v>133</v>
      </c>
      <c r="C634" s="351" t="s">
        <v>171</v>
      </c>
      <c r="D634" s="342">
        <v>231649.82000839</v>
      </c>
      <c r="E634" s="342">
        <v>13456</v>
      </c>
      <c r="F634" s="342">
        <v>218193.82000839</v>
      </c>
      <c r="G634" s="342">
        <v>134937.55985639201</v>
      </c>
      <c r="H634" s="342">
        <v>74548.749818302706</v>
      </c>
      <c r="I634" s="342">
        <v>60388.810038089803</v>
      </c>
      <c r="J634" s="342">
        <v>9083.3600666522998</v>
      </c>
      <c r="K634" s="343">
        <f t="shared" si="107"/>
        <v>125854.1997897402</v>
      </c>
      <c r="L634" s="342">
        <v>81458.090191386596</v>
      </c>
      <c r="M634" s="342">
        <v>8063.0799884200096</v>
      </c>
      <c r="N634" s="354">
        <v>1184</v>
      </c>
      <c r="O634" s="343">
        <f t="shared" si="108"/>
        <v>195.65018581789695</v>
      </c>
      <c r="P634" s="343">
        <f t="shared" si="92"/>
        <v>120.0410893822495</v>
      </c>
      <c r="Q634" s="343">
        <f t="shared" si="93"/>
        <v>113.96753366249366</v>
      </c>
      <c r="R634" s="344">
        <f t="shared" si="94"/>
        <v>0.58250664667689045</v>
      </c>
      <c r="S634" s="344">
        <f t="shared" si="95"/>
        <v>1.0142227514994886</v>
      </c>
      <c r="T634" s="343">
        <f t="shared" si="96"/>
        <v>253367.59999999998</v>
      </c>
      <c r="U634" s="342">
        <v>191299.49999999997</v>
      </c>
      <c r="V634" s="342">
        <v>9930.4</v>
      </c>
      <c r="W634" s="344">
        <f t="shared" si="102"/>
        <v>5.1910224543190137E-2</v>
      </c>
      <c r="X634" s="342">
        <v>4442.8100000000004</v>
      </c>
      <c r="Y634" s="344">
        <f t="shared" si="103"/>
        <v>2.3224368072054559E-2</v>
      </c>
      <c r="Z634" s="342">
        <v>2530.08</v>
      </c>
      <c r="AA634" s="344">
        <f t="shared" si="104"/>
        <v>1.322575333443109E-2</v>
      </c>
      <c r="AB634" s="342">
        <v>12624.75</v>
      </c>
      <c r="AC634" s="344">
        <f t="shared" si="105"/>
        <v>6.5994683728917231E-2</v>
      </c>
      <c r="AD634" s="342">
        <v>62068.1</v>
      </c>
      <c r="AE634" s="342">
        <v>6136.01</v>
      </c>
      <c r="AF634" s="344">
        <f t="shared" si="97"/>
        <v>9.8859317427148569E-2</v>
      </c>
      <c r="AG634" s="342">
        <v>6255.91</v>
      </c>
      <c r="AH634" s="344">
        <f t="shared" si="98"/>
        <v>0.10079106658653962</v>
      </c>
      <c r="AI634" s="342">
        <v>6009.01</v>
      </c>
      <c r="AJ634" s="344">
        <f t="shared" si="99"/>
        <v>9.6813177783756879E-2</v>
      </c>
      <c r="AK634" s="342">
        <v>31726.46</v>
      </c>
      <c r="AL634" s="784">
        <f t="shared" si="100"/>
        <v>0.51115565000378616</v>
      </c>
      <c r="AM634" s="350">
        <f>IFERROR(T634/(D634+D555+D511)*90,"0.00")</f>
        <v>36.228023227793521</v>
      </c>
      <c r="AN634" s="350">
        <f>IFERROR(U634/(F634+F555+F511)*90,"0.00")</f>
        <v>28.707930170358463</v>
      </c>
      <c r="AO634" s="350">
        <f>IFERROR(AD634/(E634+E555+E511)*90,"0.00")</f>
        <v>188.05982359278212</v>
      </c>
      <c r="AP634" s="639">
        <f t="shared" si="101"/>
        <v>6.3909423452677805E-2</v>
      </c>
    </row>
    <row r="635" spans="1:42" x14ac:dyDescent="0.2">
      <c r="A635" s="638">
        <v>42766</v>
      </c>
      <c r="B635" s="341" t="s">
        <v>133</v>
      </c>
      <c r="C635" s="351" t="s">
        <v>172</v>
      </c>
      <c r="D635" s="342">
        <v>0</v>
      </c>
      <c r="E635" s="342">
        <v>0</v>
      </c>
      <c r="F635" s="342">
        <v>0</v>
      </c>
      <c r="G635" s="342">
        <v>0</v>
      </c>
      <c r="H635" s="342">
        <v>0</v>
      </c>
      <c r="I635" s="342">
        <v>0</v>
      </c>
      <c r="J635" s="342">
        <v>0</v>
      </c>
      <c r="K635" s="343">
        <f t="shared" si="107"/>
        <v>0</v>
      </c>
      <c r="L635" s="342">
        <v>0</v>
      </c>
      <c r="M635" s="342">
        <v>0</v>
      </c>
      <c r="N635" s="354">
        <v>0</v>
      </c>
      <c r="O635" s="343" t="str">
        <f t="shared" si="108"/>
        <v>$0.00</v>
      </c>
      <c r="P635" s="343" t="str">
        <f t="shared" ref="P635:P698" si="109">IFERROR((E635+F635-L635-M635)/N635,"$0.00")</f>
        <v>$0.00</v>
      </c>
      <c r="Q635" s="343" t="str">
        <f t="shared" ref="Q635:Q698" si="110">IFERROR((H635+I635)/N635,"$0.00")</f>
        <v>$0.00</v>
      </c>
      <c r="R635" s="344" t="str">
        <f t="shared" ref="R635:R698" si="111">IFERROR((H635+I635)/(E635+F635),"0.00%")</f>
        <v>0.00%</v>
      </c>
      <c r="S635" s="344" t="str">
        <f t="shared" ref="S635:S698" si="112">IFERROR((H635+I635)/(F635+E635-L635-M635-J635),"0.00%")</f>
        <v>0.00%</v>
      </c>
      <c r="T635" s="343">
        <f t="shared" ref="T635:T698" si="113">+U635+AD635</f>
        <v>-34</v>
      </c>
      <c r="U635" s="342">
        <v>0</v>
      </c>
      <c r="V635" s="342">
        <v>0</v>
      </c>
      <c r="W635" s="344" t="str">
        <f t="shared" si="102"/>
        <v>0.00%</v>
      </c>
      <c r="X635" s="342">
        <v>0</v>
      </c>
      <c r="Y635" s="344" t="str">
        <f t="shared" si="103"/>
        <v>0.00%</v>
      </c>
      <c r="Z635" s="342">
        <v>0</v>
      </c>
      <c r="AA635" s="344">
        <f t="shared" si="104"/>
        <v>0</v>
      </c>
      <c r="AB635" s="342">
        <v>0</v>
      </c>
      <c r="AC635" s="344" t="str">
        <f t="shared" si="105"/>
        <v>0.00%</v>
      </c>
      <c r="AD635" s="342">
        <v>-34</v>
      </c>
      <c r="AE635" s="342">
        <v>0</v>
      </c>
      <c r="AF635" s="344">
        <f t="shared" si="97"/>
        <v>0</v>
      </c>
      <c r="AG635" s="342">
        <v>0</v>
      </c>
      <c r="AH635" s="344">
        <f t="shared" si="98"/>
        <v>0</v>
      </c>
      <c r="AI635" s="342">
        <v>0</v>
      </c>
      <c r="AJ635" s="344">
        <f t="shared" si="99"/>
        <v>0</v>
      </c>
      <c r="AK635" s="342">
        <v>-34</v>
      </c>
      <c r="AL635" s="784">
        <f t="shared" si="100"/>
        <v>1</v>
      </c>
      <c r="AM635" s="350">
        <v>0</v>
      </c>
      <c r="AN635" s="350">
        <v>0</v>
      </c>
      <c r="AO635" s="350">
        <v>0</v>
      </c>
      <c r="AP635" s="639" t="str">
        <f t="shared" si="101"/>
        <v>0.00%</v>
      </c>
    </row>
    <row r="636" spans="1:42" x14ac:dyDescent="0.2">
      <c r="A636" s="638">
        <v>42766</v>
      </c>
      <c r="B636" s="341" t="s">
        <v>133</v>
      </c>
      <c r="C636" s="351" t="s">
        <v>173</v>
      </c>
      <c r="D636" s="342">
        <v>287364.84000625298</v>
      </c>
      <c r="E636" s="342">
        <v>22919.7899999619</v>
      </c>
      <c r="F636" s="342">
        <v>264445.05000629101</v>
      </c>
      <c r="G636" s="342">
        <v>159843.74009683699</v>
      </c>
      <c r="H636" s="342">
        <v>77547.049951344699</v>
      </c>
      <c r="I636" s="342">
        <v>82296.690145492597</v>
      </c>
      <c r="J636" s="342">
        <v>10162.6900141239</v>
      </c>
      <c r="K636" s="343">
        <f t="shared" si="107"/>
        <v>149681.05008271339</v>
      </c>
      <c r="L636" s="342">
        <v>94286.540082571999</v>
      </c>
      <c r="M636" s="342">
        <v>9418.7299891114199</v>
      </c>
      <c r="N636" s="354">
        <v>1367</v>
      </c>
      <c r="O636" s="343">
        <f t="shared" si="108"/>
        <v>210.21568398409138</v>
      </c>
      <c r="P636" s="343">
        <f t="shared" si="109"/>
        <v>134.35228232228931</v>
      </c>
      <c r="Q636" s="343">
        <f t="shared" si="110"/>
        <v>116.93031462826428</v>
      </c>
      <c r="R636" s="344">
        <f t="shared" si="111"/>
        <v>0.55623972679942035</v>
      </c>
      <c r="S636" s="344">
        <f t="shared" si="112"/>
        <v>0.92130613628401403</v>
      </c>
      <c r="T636" s="343">
        <f t="shared" si="113"/>
        <v>281724.50999999995</v>
      </c>
      <c r="U636" s="342">
        <v>218754.51999999996</v>
      </c>
      <c r="V636" s="342">
        <v>11197.11</v>
      </c>
      <c r="W636" s="344">
        <f t="shared" si="102"/>
        <v>5.1185730927982669E-2</v>
      </c>
      <c r="X636" s="342">
        <v>5027.8999999999996</v>
      </c>
      <c r="Y636" s="344">
        <f t="shared" si="103"/>
        <v>2.2984210794821523E-2</v>
      </c>
      <c r="Z636" s="342">
        <v>4596.3</v>
      </c>
      <c r="AA636" s="344">
        <f t="shared" si="104"/>
        <v>2.1011222990958089E-2</v>
      </c>
      <c r="AB636" s="342">
        <v>6550.21</v>
      </c>
      <c r="AC636" s="344">
        <f t="shared" si="105"/>
        <v>2.994319843082557E-2</v>
      </c>
      <c r="AD636" s="342">
        <v>62969.99</v>
      </c>
      <c r="AE636" s="342">
        <v>5588.5</v>
      </c>
      <c r="AF636" s="344">
        <f t="shared" si="97"/>
        <v>8.8748624543214957E-2</v>
      </c>
      <c r="AG636" s="342">
        <v>4626.8900000000003</v>
      </c>
      <c r="AH636" s="344">
        <f t="shared" si="98"/>
        <v>7.34776994565189E-2</v>
      </c>
      <c r="AI636" s="342">
        <v>3633.6</v>
      </c>
      <c r="AJ636" s="344">
        <f t="shared" si="99"/>
        <v>5.7703677577207811E-2</v>
      </c>
      <c r="AK636" s="342">
        <v>33436.75</v>
      </c>
      <c r="AL636" s="784">
        <f t="shared" si="100"/>
        <v>0.5309950025400989</v>
      </c>
      <c r="AM636" s="350">
        <f>IFERROR(T636/(D636+D557+D513)*90,"0.00")</f>
        <v>35.026329624997935</v>
      </c>
      <c r="AN636" s="350">
        <f>IFERROR(U636/(F636+F557+F513)*90,"0.00")</f>
        <v>29.530202078321384</v>
      </c>
      <c r="AO636" s="350">
        <f>IFERROR(AD636/(E636+E557+E513)*90,"0.00")</f>
        <v>99.103275481614858</v>
      </c>
      <c r="AP636" s="639">
        <f t="shared" si="101"/>
        <v>5.5334388606836295E-2</v>
      </c>
    </row>
    <row r="637" spans="1:42" x14ac:dyDescent="0.2">
      <c r="A637" s="638">
        <v>42766</v>
      </c>
      <c r="B637" s="341" t="s">
        <v>137</v>
      </c>
      <c r="C637" s="351" t="s">
        <v>208</v>
      </c>
      <c r="D637" s="342">
        <v>152423.72000503499</v>
      </c>
      <c r="E637" s="342">
        <v>7062</v>
      </c>
      <c r="F637" s="342">
        <v>145361.72000503499</v>
      </c>
      <c r="G637" s="342">
        <v>91594.600024938598</v>
      </c>
      <c r="H637" s="342">
        <v>51315.409956216798</v>
      </c>
      <c r="I637" s="342">
        <v>40279.1900687218</v>
      </c>
      <c r="J637" s="342">
        <v>6160.9999938011197</v>
      </c>
      <c r="K637" s="343">
        <f t="shared" si="107"/>
        <v>85433.600031137481</v>
      </c>
      <c r="L637" s="342">
        <v>61028.090025425001</v>
      </c>
      <c r="M637" s="342">
        <v>3138.6599884331199</v>
      </c>
      <c r="N637" s="354">
        <v>747</v>
      </c>
      <c r="O637" s="343">
        <f t="shared" si="108"/>
        <v>204.04781794516063</v>
      </c>
      <c r="P637" s="343">
        <f t="shared" si="109"/>
        <v>118.14855420505604</v>
      </c>
      <c r="Q637" s="343">
        <f t="shared" si="110"/>
        <v>122.61659976564739</v>
      </c>
      <c r="R637" s="344">
        <f t="shared" si="111"/>
        <v>0.60092090667983278</v>
      </c>
      <c r="S637" s="344">
        <f t="shared" si="112"/>
        <v>1.1157015384295534</v>
      </c>
      <c r="T637" s="343">
        <f t="shared" si="113"/>
        <v>128721.45999999999</v>
      </c>
      <c r="U637" s="342">
        <v>93588.9</v>
      </c>
      <c r="V637" s="342">
        <v>1829.02</v>
      </c>
      <c r="W637" s="344">
        <f t="shared" si="102"/>
        <v>1.9543129580537864E-2</v>
      </c>
      <c r="X637" s="342">
        <v>2605.31</v>
      </c>
      <c r="Y637" s="344">
        <f t="shared" si="103"/>
        <v>2.7837809825737882E-2</v>
      </c>
      <c r="Z637" s="342">
        <v>1127.4000000000001</v>
      </c>
      <c r="AA637" s="344">
        <f t="shared" si="104"/>
        <v>1.2046300362542995E-2</v>
      </c>
      <c r="AB637" s="342">
        <v>7006.89</v>
      </c>
      <c r="AC637" s="344">
        <f t="shared" si="105"/>
        <v>7.4868814570958744E-2</v>
      </c>
      <c r="AD637" s="342">
        <v>35132.559999999998</v>
      </c>
      <c r="AE637" s="342">
        <v>2964.99</v>
      </c>
      <c r="AF637" s="344">
        <f t="shared" si="97"/>
        <v>8.4394362380652024E-2</v>
      </c>
      <c r="AG637" s="342">
        <v>3678.47</v>
      </c>
      <c r="AH637" s="344">
        <f t="shared" si="98"/>
        <v>0.104702589279005</v>
      </c>
      <c r="AI637" s="342">
        <v>1842.01</v>
      </c>
      <c r="AJ637" s="344">
        <f t="shared" si="99"/>
        <v>5.2430281197840413E-2</v>
      </c>
      <c r="AK637" s="342">
        <v>17446.46</v>
      </c>
      <c r="AL637" s="784">
        <f t="shared" si="100"/>
        <v>0.49658948849728002</v>
      </c>
      <c r="AM637" s="350">
        <f>IFERROR(T637/(D637+D584+D540)*90,"0.00")</f>
        <v>26.25480977387231</v>
      </c>
      <c r="AN637" s="350">
        <f>IFERROR(U637/(F637+F584+F540)*90,"0.00")</f>
        <v>20.168578937348435</v>
      </c>
      <c r="AO637" s="350">
        <f>IFERROR(AD637/(E637+E584+E540)*90,"0.00")</f>
        <v>133.86665537679932</v>
      </c>
      <c r="AP637" s="639">
        <f t="shared" si="101"/>
        <v>6.9807517688597748E-2</v>
      </c>
    </row>
    <row r="638" spans="1:42" x14ac:dyDescent="0.2">
      <c r="A638" s="638">
        <v>42766</v>
      </c>
      <c r="B638" s="341" t="s">
        <v>133</v>
      </c>
      <c r="C638" s="351" t="s">
        <v>174</v>
      </c>
      <c r="D638" s="342">
        <v>195518.70000579799</v>
      </c>
      <c r="E638" s="342">
        <v>9108</v>
      </c>
      <c r="F638" s="342">
        <v>186410.70000579799</v>
      </c>
      <c r="G638" s="342">
        <v>110145.200242668</v>
      </c>
      <c r="H638" s="342">
        <v>52883.580106049798</v>
      </c>
      <c r="I638" s="342">
        <v>57261.6201366186</v>
      </c>
      <c r="J638" s="342">
        <v>7130.7600417137101</v>
      </c>
      <c r="K638" s="343">
        <f t="shared" si="107"/>
        <v>103014.44020095468</v>
      </c>
      <c r="L638" s="342">
        <v>59512.439933866299</v>
      </c>
      <c r="M638" s="342">
        <v>3407.14998310804</v>
      </c>
      <c r="N638" s="354">
        <v>908</v>
      </c>
      <c r="O638" s="343">
        <f t="shared" si="108"/>
        <v>215.32896476409471</v>
      </c>
      <c r="P638" s="343">
        <f t="shared" si="109"/>
        <v>146.03426221236086</v>
      </c>
      <c r="Q638" s="343">
        <f t="shared" si="110"/>
        <v>121.30528661086827</v>
      </c>
      <c r="R638" s="344">
        <f t="shared" si="111"/>
        <v>0.56334867324405336</v>
      </c>
      <c r="S638" s="344">
        <f t="shared" si="112"/>
        <v>0.87787238934210798</v>
      </c>
      <c r="T638" s="343">
        <f t="shared" si="113"/>
        <v>189153.34</v>
      </c>
      <c r="U638" s="342">
        <v>132421.06</v>
      </c>
      <c r="V638" s="342">
        <v>6242</v>
      </c>
      <c r="W638" s="344">
        <f t="shared" si="102"/>
        <v>4.7137517249899674E-2</v>
      </c>
      <c r="X638" s="342">
        <v>2525.42</v>
      </c>
      <c r="Y638" s="344">
        <f t="shared" si="103"/>
        <v>1.9071135663768286E-2</v>
      </c>
      <c r="Z638" s="342">
        <v>3323.78</v>
      </c>
      <c r="AA638" s="344">
        <f t="shared" si="104"/>
        <v>2.5100086043715403E-2</v>
      </c>
      <c r="AB638" s="342">
        <v>8478.98</v>
      </c>
      <c r="AC638" s="344">
        <f t="shared" si="105"/>
        <v>6.4030449537256381E-2</v>
      </c>
      <c r="AD638" s="342">
        <v>56732.28</v>
      </c>
      <c r="AE638" s="342">
        <v>7745.22</v>
      </c>
      <c r="AF638" s="344">
        <f t="shared" si="97"/>
        <v>0.13652227620677329</v>
      </c>
      <c r="AG638" s="342">
        <v>5846.25</v>
      </c>
      <c r="AH638" s="344">
        <f t="shared" si="98"/>
        <v>0.10304979810435963</v>
      </c>
      <c r="AI638" s="342">
        <v>3032.38</v>
      </c>
      <c r="AJ638" s="344">
        <f t="shared" si="99"/>
        <v>5.3450698614615877E-2</v>
      </c>
      <c r="AK638" s="342">
        <v>25127.57</v>
      </c>
      <c r="AL638" s="784">
        <f t="shared" si="100"/>
        <v>0.44291486257911722</v>
      </c>
      <c r="AM638" s="350">
        <f>IFERROR(T638/(D638+D556+D512)*90,"0.00")</f>
        <v>32.064462302123246</v>
      </c>
      <c r="AN638" s="350">
        <f>IFERROR(U638/(F638+F556+F512)*90,"0.00")</f>
        <v>23.741335894268076</v>
      </c>
      <c r="AO638" s="350">
        <f>IFERROR(AD638/(E638+E556+E512)*90,"0.00")</f>
        <v>176.46121306376361</v>
      </c>
      <c r="AP638" s="639">
        <f t="shared" si="101"/>
        <v>5.3776831812348179E-2</v>
      </c>
    </row>
    <row r="639" spans="1:42" x14ac:dyDescent="0.2">
      <c r="A639" s="638">
        <v>42766</v>
      </c>
      <c r="B639" s="341" t="s">
        <v>133</v>
      </c>
      <c r="C639" s="351" t="s">
        <v>175</v>
      </c>
      <c r="D639" s="342">
        <v>0</v>
      </c>
      <c r="E639" s="342">
        <v>0</v>
      </c>
      <c r="F639" s="342">
        <v>0</v>
      </c>
      <c r="G639" s="342">
        <v>10</v>
      </c>
      <c r="H639" s="342">
        <v>0</v>
      </c>
      <c r="I639" s="342">
        <v>10</v>
      </c>
      <c r="J639" s="342">
        <v>0</v>
      </c>
      <c r="K639" s="343">
        <f t="shared" si="107"/>
        <v>10</v>
      </c>
      <c r="L639" s="342">
        <v>0</v>
      </c>
      <c r="M639" s="342">
        <v>-10.810000002383999</v>
      </c>
      <c r="N639" s="354">
        <v>0</v>
      </c>
      <c r="O639" s="343" t="str">
        <f t="shared" si="108"/>
        <v>$0.00</v>
      </c>
      <c r="P639" s="343" t="str">
        <f t="shared" si="109"/>
        <v>$0.00</v>
      </c>
      <c r="Q639" s="343" t="str">
        <f t="shared" si="110"/>
        <v>$0.00</v>
      </c>
      <c r="R639" s="344" t="str">
        <f t="shared" si="111"/>
        <v>0.00%</v>
      </c>
      <c r="S639" s="344">
        <f t="shared" si="112"/>
        <v>0.92506937999950367</v>
      </c>
      <c r="T639" s="343">
        <f t="shared" si="113"/>
        <v>-9</v>
      </c>
      <c r="U639" s="342">
        <v>1</v>
      </c>
      <c r="V639" s="342">
        <v>246</v>
      </c>
      <c r="W639" s="344">
        <v>0</v>
      </c>
      <c r="X639" s="342">
        <v>0</v>
      </c>
      <c r="Y639" s="344">
        <f t="shared" si="103"/>
        <v>0</v>
      </c>
      <c r="Z639" s="342">
        <v>0</v>
      </c>
      <c r="AA639" s="344">
        <f t="shared" si="104"/>
        <v>0</v>
      </c>
      <c r="AB639" s="342">
        <v>-245</v>
      </c>
      <c r="AC639" s="344">
        <v>0</v>
      </c>
      <c r="AD639" s="342">
        <v>-10</v>
      </c>
      <c r="AE639" s="342">
        <v>0</v>
      </c>
      <c r="AF639" s="344">
        <f t="shared" si="97"/>
        <v>0</v>
      </c>
      <c r="AG639" s="342">
        <v>0</v>
      </c>
      <c r="AH639" s="344">
        <f t="shared" si="98"/>
        <v>0</v>
      </c>
      <c r="AI639" s="342">
        <v>0</v>
      </c>
      <c r="AJ639" s="344">
        <f t="shared" si="99"/>
        <v>0</v>
      </c>
      <c r="AK639" s="342">
        <v>-10</v>
      </c>
      <c r="AL639" s="784">
        <f t="shared" si="100"/>
        <v>1</v>
      </c>
      <c r="AM639" s="350">
        <v>0</v>
      </c>
      <c r="AN639" s="350">
        <v>0</v>
      </c>
      <c r="AO639" s="350">
        <v>0</v>
      </c>
      <c r="AP639" s="639">
        <f t="shared" si="101"/>
        <v>0</v>
      </c>
    </row>
    <row r="640" spans="1:42" x14ac:dyDescent="0.2">
      <c r="A640" s="638">
        <v>42766</v>
      </c>
      <c r="B640" s="341" t="s">
        <v>136</v>
      </c>
      <c r="C640" s="351" t="s">
        <v>196</v>
      </c>
      <c r="D640" s="342">
        <v>161794.27000190699</v>
      </c>
      <c r="E640" s="342">
        <v>13053</v>
      </c>
      <c r="F640" s="342">
        <v>148741.27000190699</v>
      </c>
      <c r="G640" s="342">
        <v>88809.040119647994</v>
      </c>
      <c r="H640" s="342">
        <v>35863.839992523201</v>
      </c>
      <c r="I640" s="342">
        <v>52945.200127124801</v>
      </c>
      <c r="J640" s="342">
        <v>5259.8500182628604</v>
      </c>
      <c r="K640" s="343">
        <f t="shared" si="107"/>
        <v>83549.190101385146</v>
      </c>
      <c r="L640" s="342">
        <v>49110.850162506104</v>
      </c>
      <c r="M640" s="342">
        <v>90.25</v>
      </c>
      <c r="N640" s="354">
        <v>690</v>
      </c>
      <c r="O640" s="343">
        <f t="shared" si="108"/>
        <v>234.48444927812608</v>
      </c>
      <c r="P640" s="343">
        <f t="shared" si="109"/>
        <v>163.17850701362448</v>
      </c>
      <c r="Q640" s="343">
        <f t="shared" si="110"/>
        <v>128.70875379659131</v>
      </c>
      <c r="R640" s="344">
        <f t="shared" si="111"/>
        <v>0.54890102176425193</v>
      </c>
      <c r="S640" s="344">
        <f t="shared" si="112"/>
        <v>0.82741352142690483</v>
      </c>
      <c r="T640" s="343">
        <f t="shared" si="113"/>
        <v>93345.19</v>
      </c>
      <c r="U640" s="342">
        <v>72921.72</v>
      </c>
      <c r="V640" s="342">
        <v>1530.4</v>
      </c>
      <c r="W640" s="344">
        <f t="shared" si="102"/>
        <v>2.0986888405813798E-2</v>
      </c>
      <c r="X640" s="342">
        <v>1325.24</v>
      </c>
      <c r="Y640" s="344">
        <f t="shared" si="103"/>
        <v>1.8173460527261289E-2</v>
      </c>
      <c r="Z640" s="342">
        <v>785.85</v>
      </c>
      <c r="AA640" s="344">
        <f t="shared" si="104"/>
        <v>1.0776624577697838E-2</v>
      </c>
      <c r="AB640" s="342">
        <v>-132.19</v>
      </c>
      <c r="AC640" s="344">
        <f t="shared" si="105"/>
        <v>-1.8127657987222461E-3</v>
      </c>
      <c r="AD640" s="342">
        <v>20423.47</v>
      </c>
      <c r="AE640" s="342">
        <v>1974.22</v>
      </c>
      <c r="AF640" s="344">
        <f t="shared" si="97"/>
        <v>9.6664278890903454E-2</v>
      </c>
      <c r="AG640" s="342">
        <v>1468.11</v>
      </c>
      <c r="AH640" s="344">
        <f t="shared" si="98"/>
        <v>7.1883475237067937E-2</v>
      </c>
      <c r="AI640" s="342">
        <v>1292.1400000000001</v>
      </c>
      <c r="AJ640" s="344">
        <f t="shared" si="99"/>
        <v>6.326740754631803E-2</v>
      </c>
      <c r="AK640" s="342">
        <v>7531.11</v>
      </c>
      <c r="AL640" s="784">
        <f t="shared" si="100"/>
        <v>0.36874781807400991</v>
      </c>
      <c r="AM640" s="350">
        <f>IFERROR(T640/(D640+D575+D531)*90,"0.00")</f>
        <v>23.019253323412023</v>
      </c>
      <c r="AN640" s="350">
        <f>IFERROR(U640/(F640+D575+D531)*90,"0.00")</f>
        <v>18.64977643937403</v>
      </c>
      <c r="AO640" s="350">
        <f>IFERROR(AD640/(E640+D575+D531)*90,"0.00")</f>
        <v>8.5012381770571377</v>
      </c>
      <c r="AP640" s="639">
        <f t="shared" si="101"/>
        <v>4.6715533684372985E-2</v>
      </c>
    </row>
    <row r="641" spans="1:42" x14ac:dyDescent="0.2">
      <c r="A641" s="638">
        <v>42766</v>
      </c>
      <c r="B641" s="341" t="s">
        <v>133</v>
      </c>
      <c r="C641" s="351" t="s">
        <v>177</v>
      </c>
      <c r="D641" s="342">
        <v>148853.120003013</v>
      </c>
      <c r="E641" s="342">
        <v>8797</v>
      </c>
      <c r="F641" s="342">
        <v>140056.120003013</v>
      </c>
      <c r="G641" s="342">
        <v>82791.350108422295</v>
      </c>
      <c r="H641" s="342">
        <v>29112.480036772798</v>
      </c>
      <c r="I641" s="342">
        <v>53678.870071649602</v>
      </c>
      <c r="J641" s="342">
        <v>7531.3200114965402</v>
      </c>
      <c r="K641" s="343">
        <f t="shared" si="107"/>
        <v>75260.030096925853</v>
      </c>
      <c r="L641" s="342">
        <v>34056.130033941903</v>
      </c>
      <c r="M641" s="342">
        <v>1018.66999351978</v>
      </c>
      <c r="N641" s="354">
        <v>665</v>
      </c>
      <c r="O641" s="343">
        <f t="shared" si="108"/>
        <v>223.83927820001955</v>
      </c>
      <c r="P641" s="343">
        <f t="shared" si="109"/>
        <v>171.09521800834781</v>
      </c>
      <c r="Q641" s="343">
        <f t="shared" si="110"/>
        <v>124.49827083973292</v>
      </c>
      <c r="R641" s="344">
        <f t="shared" si="111"/>
        <v>0.556194926292083</v>
      </c>
      <c r="S641" s="344">
        <f t="shared" si="112"/>
        <v>0.77923470908761827</v>
      </c>
      <c r="T641" s="343">
        <f t="shared" si="113"/>
        <v>111324.83</v>
      </c>
      <c r="U641" s="342">
        <v>88715.8</v>
      </c>
      <c r="V641" s="342">
        <v>3562.68</v>
      </c>
      <c r="W641" s="344">
        <f t="shared" si="102"/>
        <v>4.0158348343812489E-2</v>
      </c>
      <c r="X641" s="342">
        <v>1787.71</v>
      </c>
      <c r="Y641" s="344">
        <f t="shared" si="103"/>
        <v>2.0150976488968141E-2</v>
      </c>
      <c r="Z641" s="342">
        <v>981.24</v>
      </c>
      <c r="AA641" s="344">
        <f t="shared" si="104"/>
        <v>1.1060487534351265E-2</v>
      </c>
      <c r="AB641" s="342">
        <v>3530.87</v>
      </c>
      <c r="AC641" s="344">
        <f t="shared" si="105"/>
        <v>3.9799787636475126E-2</v>
      </c>
      <c r="AD641" s="342">
        <v>22609.03</v>
      </c>
      <c r="AE641" s="342">
        <v>4827.03</v>
      </c>
      <c r="AF641" s="344">
        <f t="shared" si="97"/>
        <v>0.21350009266209122</v>
      </c>
      <c r="AG641" s="342">
        <v>2596.5500000000002</v>
      </c>
      <c r="AH641" s="344">
        <f t="shared" si="98"/>
        <v>0.11484570545485588</v>
      </c>
      <c r="AI641" s="342">
        <v>1821.35</v>
      </c>
      <c r="AJ641" s="344">
        <f t="shared" si="99"/>
        <v>8.0558520201883935E-2</v>
      </c>
      <c r="AK641" s="342">
        <v>6482.9</v>
      </c>
      <c r="AL641" s="784">
        <f t="shared" si="100"/>
        <v>0.28673941341136705</v>
      </c>
      <c r="AM641" s="350">
        <f>IFERROR(T641/(D641+D558+D514)*90,"0.00")</f>
        <v>25.044912306344148</v>
      </c>
      <c r="AN641" s="350">
        <f>IFERROR(U641/(F641+F558+F514)*90,"0.00")</f>
        <v>21.210868294360989</v>
      </c>
      <c r="AO641" s="350">
        <f>IFERROR(AD641/(E641+E558+E514)*90,"0.00")</f>
        <v>86.147870448772224</v>
      </c>
      <c r="AP641" s="639">
        <f t="shared" si="101"/>
        <v>6.6192926852100389E-2</v>
      </c>
    </row>
    <row r="642" spans="1:42" x14ac:dyDescent="0.2">
      <c r="A642" s="638">
        <v>42766</v>
      </c>
      <c r="B642" s="341" t="s">
        <v>135</v>
      </c>
      <c r="C642" s="351" t="s">
        <v>186</v>
      </c>
      <c r="D642" s="342">
        <v>104225.5</v>
      </c>
      <c r="E642" s="342">
        <v>7778</v>
      </c>
      <c r="F642" s="342">
        <v>96447.5</v>
      </c>
      <c r="G642" s="342">
        <v>59002.760535478599</v>
      </c>
      <c r="H642" s="342">
        <v>24975.3602633476</v>
      </c>
      <c r="I642" s="342">
        <v>34027.400272131003</v>
      </c>
      <c r="J642" s="342">
        <v>7341.84003853798</v>
      </c>
      <c r="K642" s="343">
        <f t="shared" si="107"/>
        <v>51660.920496940627</v>
      </c>
      <c r="L642" s="342">
        <v>32906.329572677598</v>
      </c>
      <c r="M642" s="342">
        <v>927.60000324249302</v>
      </c>
      <c r="N642" s="354">
        <v>506</v>
      </c>
      <c r="O642" s="343">
        <f t="shared" si="108"/>
        <v>205.97924901185772</v>
      </c>
      <c r="P642" s="343">
        <f t="shared" si="109"/>
        <v>139.11377554165989</v>
      </c>
      <c r="Q642" s="343">
        <f t="shared" si="110"/>
        <v>116.60624611754665</v>
      </c>
      <c r="R642" s="344">
        <f t="shared" si="111"/>
        <v>0.56610676404026472</v>
      </c>
      <c r="S642" s="344">
        <f t="shared" si="112"/>
        <v>0.93581305066149267</v>
      </c>
      <c r="T642" s="343">
        <f t="shared" si="113"/>
        <v>73386.049999999988</v>
      </c>
      <c r="U642" s="342">
        <v>53491.03</v>
      </c>
      <c r="V642" s="342">
        <v>1467.7</v>
      </c>
      <c r="W642" s="344">
        <f t="shared" si="102"/>
        <v>2.7438245253456516E-2</v>
      </c>
      <c r="X642" s="342">
        <v>1686.49</v>
      </c>
      <c r="Y642" s="344">
        <f t="shared" si="103"/>
        <v>3.152846374429507E-2</v>
      </c>
      <c r="Z642" s="342">
        <v>1889.57</v>
      </c>
      <c r="AA642" s="344">
        <f t="shared" si="104"/>
        <v>3.5324988133524443E-2</v>
      </c>
      <c r="AB642" s="342">
        <v>6733.94</v>
      </c>
      <c r="AC642" s="344">
        <f t="shared" si="105"/>
        <v>0.12588914440421131</v>
      </c>
      <c r="AD642" s="342">
        <v>19895.019999999997</v>
      </c>
      <c r="AE642" s="342">
        <v>1183.97</v>
      </c>
      <c r="AF642" s="344">
        <f t="shared" ref="AF642:AF705" si="114">IFERROR(AE642/AD642,"0.00%")</f>
        <v>5.9510872570120575E-2</v>
      </c>
      <c r="AG642" s="342">
        <v>1391.3</v>
      </c>
      <c r="AH642" s="344">
        <f t="shared" ref="AH642:AH705" si="115">IFERROR(AG642/AD642,"0.00%")</f>
        <v>6.993207345355773E-2</v>
      </c>
      <c r="AI642" s="342">
        <v>1604.76</v>
      </c>
      <c r="AJ642" s="344">
        <f t="shared" ref="AJ642:AJ705" si="116">IFERROR(AI642/AD642,"0.00"%)</f>
        <v>8.0661391644743272E-2</v>
      </c>
      <c r="AK642" s="342">
        <v>7872.32</v>
      </c>
      <c r="AL642" s="784">
        <f t="shared" ref="AL642:AL705" si="117">IFERROR(AK642/AD642,"0.00%")</f>
        <v>0.39569299251772561</v>
      </c>
      <c r="AM642" s="350">
        <f>IFERROR(T642/(D642+D564+D520)*90,"0.00")</f>
        <v>24.014021749800932</v>
      </c>
      <c r="AN642" s="350">
        <f>IFERROR(U642/(F642+F564+F520)*90,"0.00")</f>
        <v>18.834869718309861</v>
      </c>
      <c r="AO642" s="350">
        <f>IFERROR(AD642/(E642+E564+E520)*90,"0.00")</f>
        <v>92.12079024540823</v>
      </c>
      <c r="AP642" s="639">
        <f t="shared" ref="AP642:AP705" si="118">IFERROR(J642/(D642-L642-M642),"0.00%")</f>
        <v>0.10429998925022485</v>
      </c>
    </row>
    <row r="643" spans="1:42" x14ac:dyDescent="0.2">
      <c r="A643" s="638">
        <v>42766</v>
      </c>
      <c r="B643" s="341" t="s">
        <v>135</v>
      </c>
      <c r="C643" s="351" t="s">
        <v>187</v>
      </c>
      <c r="D643" s="342">
        <v>137585.51</v>
      </c>
      <c r="E643" s="342">
        <v>6619</v>
      </c>
      <c r="F643" s="342">
        <v>130966.51</v>
      </c>
      <c r="G643" s="342">
        <v>73757.680667854802</v>
      </c>
      <c r="H643" s="342">
        <v>31391.620362162601</v>
      </c>
      <c r="I643" s="342">
        <v>42366.060305692299</v>
      </c>
      <c r="J643" s="342">
        <v>7448.6400561332703</v>
      </c>
      <c r="K643" s="343">
        <f t="shared" si="107"/>
        <v>66309.040611721633</v>
      </c>
      <c r="L643" s="342">
        <v>43127.379537582397</v>
      </c>
      <c r="M643" s="342">
        <v>1963.9000064060101</v>
      </c>
      <c r="N643" s="354">
        <v>610</v>
      </c>
      <c r="O643" s="343">
        <f t="shared" si="108"/>
        <v>225.55001639344263</v>
      </c>
      <c r="P643" s="343">
        <f t="shared" si="109"/>
        <v>151.62988599346164</v>
      </c>
      <c r="Q643" s="343">
        <f t="shared" si="110"/>
        <v>120.91423060304082</v>
      </c>
      <c r="R643" s="344">
        <f t="shared" si="111"/>
        <v>0.53608610868873396</v>
      </c>
      <c r="S643" s="344">
        <f t="shared" si="112"/>
        <v>0.86727225151887977</v>
      </c>
      <c r="T643" s="343">
        <f t="shared" si="113"/>
        <v>78516.84</v>
      </c>
      <c r="U643" s="342">
        <v>61035.090000000004</v>
      </c>
      <c r="V643" s="342">
        <v>1947.01</v>
      </c>
      <c r="W643" s="344">
        <f t="shared" ref="W643:W706" si="119">IFERROR(V643/U643,"0.00%")</f>
        <v>3.1899846465369343E-2</v>
      </c>
      <c r="X643" s="342">
        <v>2606.4699999999998</v>
      </c>
      <c r="Y643" s="344">
        <f t="shared" ref="Y643:Y706" si="120">IFERROR(X643/U643,"0.00%")</f>
        <v>4.2704450833119106E-2</v>
      </c>
      <c r="Z643" s="342">
        <v>476.88</v>
      </c>
      <c r="AA643" s="344">
        <f t="shared" ref="AA643:AA706" si="121">IFERROR(Z643/U643,"0.00"%)</f>
        <v>7.8132104007710961E-3</v>
      </c>
      <c r="AB643" s="342">
        <v>3811.72</v>
      </c>
      <c r="AC643" s="344">
        <f t="shared" ref="AC643:AC706" si="122">IFERROR(AB643/U643,"0.00%")</f>
        <v>6.2451288267126329E-2</v>
      </c>
      <c r="AD643" s="342">
        <v>17481.75</v>
      </c>
      <c r="AE643" s="342">
        <v>1747.41</v>
      </c>
      <c r="AF643" s="344">
        <f t="shared" si="114"/>
        <v>9.9956240078939468E-2</v>
      </c>
      <c r="AG643" s="342">
        <v>2024.2</v>
      </c>
      <c r="AH643" s="344">
        <f t="shared" si="115"/>
        <v>0.11578932315128634</v>
      </c>
      <c r="AI643" s="342">
        <v>827.35</v>
      </c>
      <c r="AJ643" s="344">
        <f t="shared" si="116"/>
        <v>4.7326497633246103E-2</v>
      </c>
      <c r="AK643" s="342">
        <v>5536.7</v>
      </c>
      <c r="AL643" s="784">
        <f t="shared" si="117"/>
        <v>0.3167131437070087</v>
      </c>
      <c r="AM643" s="350">
        <f>IFERROR(T643/(D643+D563+D519)*90,"0.00")</f>
        <v>21.165221255935595</v>
      </c>
      <c r="AN643" s="350">
        <f>IFERROR(U643/(F643+F563+F519)*90,"0.00")</f>
        <v>17.524498898559965</v>
      </c>
      <c r="AO643" s="350">
        <f>IFERROR(AD643/(E643+E563+E519)*90,"0.00")</f>
        <v>77.057375844842795</v>
      </c>
      <c r="AP643" s="639">
        <f t="shared" si="118"/>
        <v>8.0530861432224071E-2</v>
      </c>
    </row>
    <row r="644" spans="1:42" x14ac:dyDescent="0.2">
      <c r="A644" s="638">
        <v>42766</v>
      </c>
      <c r="B644" s="341" t="s">
        <v>135</v>
      </c>
      <c r="C644" s="351" t="s">
        <v>188</v>
      </c>
      <c r="D644" s="342">
        <v>161563</v>
      </c>
      <c r="E644" s="342">
        <v>10882</v>
      </c>
      <c r="F644" s="342">
        <v>150681</v>
      </c>
      <c r="G644" s="342">
        <v>93843.330850291997</v>
      </c>
      <c r="H644" s="342">
        <v>45481.770570565001</v>
      </c>
      <c r="I644" s="342">
        <v>48361.560279726997</v>
      </c>
      <c r="J644" s="342">
        <v>9564.8700766563397</v>
      </c>
      <c r="K644" s="343">
        <f t="shared" si="107"/>
        <v>84278.460773635656</v>
      </c>
      <c r="L644" s="342">
        <v>52712.299328040302</v>
      </c>
      <c r="M644" s="342">
        <v>1984.3400148749399</v>
      </c>
      <c r="N644" s="354">
        <v>806</v>
      </c>
      <c r="O644" s="343">
        <f t="shared" si="108"/>
        <v>200.45037220843673</v>
      </c>
      <c r="P644" s="343">
        <f t="shared" si="109"/>
        <v>132.58853679539052</v>
      </c>
      <c r="Q644" s="343">
        <f t="shared" si="110"/>
        <v>116.43093157604466</v>
      </c>
      <c r="R644" s="344">
        <f t="shared" si="111"/>
        <v>0.58084667188831596</v>
      </c>
      <c r="S644" s="344">
        <f t="shared" si="112"/>
        <v>0.9644593344921274</v>
      </c>
      <c r="T644" s="343">
        <f t="shared" si="113"/>
        <v>105821.82000000002</v>
      </c>
      <c r="U644" s="342">
        <v>80486.74000000002</v>
      </c>
      <c r="V644" s="342">
        <v>2690</v>
      </c>
      <c r="W644" s="344">
        <f t="shared" si="119"/>
        <v>3.3421654299826277E-2</v>
      </c>
      <c r="X644" s="342">
        <v>2497.9899999999998</v>
      </c>
      <c r="Y644" s="344">
        <f t="shared" si="120"/>
        <v>3.1036043949599638E-2</v>
      </c>
      <c r="Z644" s="342">
        <v>2882.64</v>
      </c>
      <c r="AA644" s="344">
        <f t="shared" si="121"/>
        <v>3.5815092026338737E-2</v>
      </c>
      <c r="AB644" s="342">
        <v>6001.18</v>
      </c>
      <c r="AC644" s="344">
        <f t="shared" si="122"/>
        <v>7.4561101617483805E-2</v>
      </c>
      <c r="AD644" s="342">
        <v>25335.08</v>
      </c>
      <c r="AE644" s="342">
        <v>1488.08</v>
      </c>
      <c r="AF644" s="344">
        <f t="shared" si="114"/>
        <v>5.8735950310794351E-2</v>
      </c>
      <c r="AG644" s="342">
        <v>2790.69</v>
      </c>
      <c r="AH644" s="344">
        <f t="shared" si="115"/>
        <v>0.11015122115264683</v>
      </c>
      <c r="AI644" s="342">
        <v>1249.26</v>
      </c>
      <c r="AJ644" s="344">
        <f t="shared" si="116"/>
        <v>4.9309494976925272E-2</v>
      </c>
      <c r="AK644" s="342">
        <v>10171.299999999999</v>
      </c>
      <c r="AL644" s="784">
        <f t="shared" si="117"/>
        <v>0.40147100384131407</v>
      </c>
      <c r="AM644" s="350">
        <f>IFERROR(T644/(D644+D565+D521)*90,"0.00")</f>
        <v>23.806427809932803</v>
      </c>
      <c r="AN644" s="350">
        <f>IFERROR(U644/(F644+F521+F565)*90,"0.00")</f>
        <v>19.389956515978273</v>
      </c>
      <c r="AO644" s="350">
        <f>IFERROR(AD644/(E644+E521+E565)*90,"0.00")</f>
        <v>86.131424470214938</v>
      </c>
      <c r="AP644" s="639">
        <f t="shared" si="118"/>
        <v>8.9503095434758137E-2</v>
      </c>
    </row>
    <row r="645" spans="1:42" x14ac:dyDescent="0.2">
      <c r="A645" s="638">
        <v>42766</v>
      </c>
      <c r="B645" s="341" t="s">
        <v>136</v>
      </c>
      <c r="C645" s="351" t="s">
        <v>290</v>
      </c>
      <c r="D645" s="342">
        <v>119319.700001488</v>
      </c>
      <c r="E645" s="342">
        <v>7216</v>
      </c>
      <c r="F645" s="342">
        <v>112103.700001488</v>
      </c>
      <c r="G645" s="342">
        <v>68614.600029796406</v>
      </c>
      <c r="H645" s="342">
        <v>32081.639938205499</v>
      </c>
      <c r="I645" s="342">
        <v>36532.960091590903</v>
      </c>
      <c r="J645" s="342">
        <v>4960.0199999809302</v>
      </c>
      <c r="K645" s="343">
        <f t="shared" si="107"/>
        <v>63654.580029815479</v>
      </c>
      <c r="L645" s="342">
        <v>42855.060034513503</v>
      </c>
      <c r="M645" s="342">
        <v>27.480000115930999</v>
      </c>
      <c r="N645" s="354">
        <v>495</v>
      </c>
      <c r="O645" s="343">
        <f t="shared" si="108"/>
        <v>241.04989899290507</v>
      </c>
      <c r="P645" s="343">
        <f t="shared" si="109"/>
        <v>154.41850498355268</v>
      </c>
      <c r="Q645" s="343">
        <f t="shared" si="110"/>
        <v>138.6153535955483</v>
      </c>
      <c r="R645" s="344">
        <f t="shared" si="111"/>
        <v>0.5750483786746089</v>
      </c>
      <c r="S645" s="344">
        <f t="shared" si="112"/>
        <v>0.95995167212331478</v>
      </c>
      <c r="T645" s="343">
        <f t="shared" si="113"/>
        <v>72564.850000000006</v>
      </c>
      <c r="U645" s="342">
        <v>58566.80000000001</v>
      </c>
      <c r="V645" s="342">
        <v>621.33000000000004</v>
      </c>
      <c r="W645" s="344">
        <f t="shared" si="119"/>
        <v>1.0608911533496792E-2</v>
      </c>
      <c r="X645" s="342">
        <v>247.61</v>
      </c>
      <c r="Y645" s="344">
        <f t="shared" si="120"/>
        <v>4.2278219059262243E-3</v>
      </c>
      <c r="Z645" s="342">
        <v>147.13</v>
      </c>
      <c r="AA645" s="344">
        <f t="shared" si="121"/>
        <v>2.5121741327851269E-3</v>
      </c>
      <c r="AB645" s="342">
        <v>-1000.64</v>
      </c>
      <c r="AC645" s="344">
        <v>0</v>
      </c>
      <c r="AD645" s="342">
        <v>13998.05</v>
      </c>
      <c r="AE645" s="342">
        <v>1878.47</v>
      </c>
      <c r="AF645" s="344">
        <f t="shared" si="114"/>
        <v>0.13419512003457626</v>
      </c>
      <c r="AG645" s="342">
        <v>1795.16</v>
      </c>
      <c r="AH645" s="344">
        <f t="shared" si="115"/>
        <v>0.12824357678390921</v>
      </c>
      <c r="AI645" s="342">
        <v>1087.3900000000001</v>
      </c>
      <c r="AJ645" s="344">
        <f t="shared" si="116"/>
        <v>7.7681534213694059E-2</v>
      </c>
      <c r="AK645" s="342">
        <v>1508.03</v>
      </c>
      <c r="AL645" s="784">
        <f t="shared" si="117"/>
        <v>0.10773143402116724</v>
      </c>
      <c r="AM645" s="350">
        <f>IFERROR(T645/(D645+D576+D532)*90,"0.00")</f>
        <v>21.512348729604902</v>
      </c>
      <c r="AN645" s="350">
        <f>IFERROR(U645/(F645+F576+F532)*90,"0.00")</f>
        <v>18.522174217527937</v>
      </c>
      <c r="AO645" s="350">
        <f>IFERROR(AD645/(E645+E576+E532)*90,"0.00")</f>
        <v>66.282132898405848</v>
      </c>
      <c r="AP645" s="639">
        <f t="shared" si="118"/>
        <v>6.4890166015214107E-2</v>
      </c>
    </row>
    <row r="646" spans="1:42" x14ac:dyDescent="0.2">
      <c r="A646" s="638">
        <v>42766</v>
      </c>
      <c r="B646" s="341" t="s">
        <v>134</v>
      </c>
      <c r="C646" s="351" t="s">
        <v>178</v>
      </c>
      <c r="D646" s="342">
        <v>387737.31033925002</v>
      </c>
      <c r="E646" s="342">
        <v>20687.190002441399</v>
      </c>
      <c r="F646" s="342">
        <v>367050.12033680797</v>
      </c>
      <c r="G646" s="342">
        <v>256244.07954518701</v>
      </c>
      <c r="H646" s="342">
        <v>154239.68951492201</v>
      </c>
      <c r="I646" s="342">
        <v>102004.390030265</v>
      </c>
      <c r="J646" s="342">
        <v>25483.1900891066</v>
      </c>
      <c r="K646" s="343">
        <f t="shared" si="107"/>
        <v>230760.88945608042</v>
      </c>
      <c r="L646" s="342">
        <v>117169.78023038599</v>
      </c>
      <c r="M646" s="342">
        <v>6948.6300004105997</v>
      </c>
      <c r="N646" s="354">
        <v>1766</v>
      </c>
      <c r="O646" s="343">
        <f t="shared" si="108"/>
        <v>219.55680087160215</v>
      </c>
      <c r="P646" s="343">
        <f t="shared" si="109"/>
        <v>149.27457537284982</v>
      </c>
      <c r="Q646" s="343">
        <f t="shared" si="110"/>
        <v>145.0985727888941</v>
      </c>
      <c r="R646" s="344">
        <f t="shared" si="111"/>
        <v>0.66087031789895889</v>
      </c>
      <c r="S646" s="344">
        <f t="shared" si="112"/>
        <v>1.0760422261926601</v>
      </c>
      <c r="T646" s="343">
        <f t="shared" si="113"/>
        <v>379301.89</v>
      </c>
      <c r="U646" s="342">
        <v>282156.27999999997</v>
      </c>
      <c r="V646" s="342">
        <v>6244.65</v>
      </c>
      <c r="W646" s="344">
        <f t="shared" si="119"/>
        <v>2.213188379149314E-2</v>
      </c>
      <c r="X646" s="342">
        <v>6413.27</v>
      </c>
      <c r="Y646" s="344">
        <f t="shared" si="120"/>
        <v>2.2729495866616902E-2</v>
      </c>
      <c r="Z646" s="342">
        <v>10768.91</v>
      </c>
      <c r="AA646" s="344">
        <f t="shared" si="121"/>
        <v>3.8166472849727115E-2</v>
      </c>
      <c r="AB646" s="342">
        <v>29612.43</v>
      </c>
      <c r="AC646" s="344">
        <f t="shared" si="122"/>
        <v>0.10495045511657583</v>
      </c>
      <c r="AD646" s="342">
        <v>97145.610000000015</v>
      </c>
      <c r="AE646" s="342">
        <v>9215.7900000000009</v>
      </c>
      <c r="AF646" s="344">
        <f t="shared" si="114"/>
        <v>9.4865738142979383E-2</v>
      </c>
      <c r="AG646" s="342">
        <v>9549.4</v>
      </c>
      <c r="AH646" s="344">
        <f t="shared" si="115"/>
        <v>9.8299861414221382E-2</v>
      </c>
      <c r="AI646" s="342">
        <v>5007.0200000000004</v>
      </c>
      <c r="AJ646" s="344">
        <f t="shared" si="116"/>
        <v>5.1541392349072693E-2</v>
      </c>
      <c r="AK646" s="342">
        <v>32480.52</v>
      </c>
      <c r="AL646" s="784">
        <f t="shared" si="117"/>
        <v>0.33434881926213644</v>
      </c>
      <c r="AM646" s="350">
        <f>IFERROR(T646/(D646+D591+D547)*90,"0.00")</f>
        <v>31.091684250988067</v>
      </c>
      <c r="AN646" s="350">
        <f>IFERROR(U646/(F646+F591+F547)*90,"0.00")</f>
        <v>24.322801669612645</v>
      </c>
      <c r="AO646" s="350">
        <f>IFERROR(AD646/(E646+E591+E547)*90,"0.00")</f>
        <v>162.18509467643702</v>
      </c>
      <c r="AP646" s="639">
        <f t="shared" si="118"/>
        <v>9.6666779501100863E-2</v>
      </c>
    </row>
    <row r="647" spans="1:42" x14ac:dyDescent="0.2">
      <c r="A647" s="638">
        <v>42766</v>
      </c>
      <c r="B647" s="341" t="s">
        <v>134</v>
      </c>
      <c r="C647" s="351" t="s">
        <v>318</v>
      </c>
      <c r="D647" s="342">
        <v>1874</v>
      </c>
      <c r="E647" s="342">
        <v>25</v>
      </c>
      <c r="F647" s="342">
        <v>1849</v>
      </c>
      <c r="G647" s="342">
        <v>404</v>
      </c>
      <c r="H647" s="342">
        <v>0</v>
      </c>
      <c r="I647" s="342">
        <v>404</v>
      </c>
      <c r="J647" s="342">
        <v>0</v>
      </c>
      <c r="K647" s="343">
        <f t="shared" si="107"/>
        <v>404</v>
      </c>
      <c r="L647" s="342">
        <v>0</v>
      </c>
      <c r="M647" s="342">
        <v>0</v>
      </c>
      <c r="N647" s="354">
        <v>10</v>
      </c>
      <c r="O647" s="343">
        <f t="shared" si="108"/>
        <v>187.4</v>
      </c>
      <c r="P647" s="343">
        <f t="shared" si="109"/>
        <v>187.4</v>
      </c>
      <c r="Q647" s="343">
        <f t="shared" si="110"/>
        <v>40.4</v>
      </c>
      <c r="R647" s="344">
        <f t="shared" si="111"/>
        <v>0.21558164354322304</v>
      </c>
      <c r="S647" s="344">
        <f t="shared" si="112"/>
        <v>0.21558164354322304</v>
      </c>
      <c r="T647" s="343">
        <f t="shared" si="113"/>
        <v>1837</v>
      </c>
      <c r="U647" s="342">
        <v>2006</v>
      </c>
      <c r="V647" s="342">
        <v>0</v>
      </c>
      <c r="W647" s="344">
        <f t="shared" si="119"/>
        <v>0</v>
      </c>
      <c r="X647" s="342">
        <v>0</v>
      </c>
      <c r="Y647" s="344">
        <f t="shared" si="120"/>
        <v>0</v>
      </c>
      <c r="Z647" s="342">
        <v>0</v>
      </c>
      <c r="AA647" s="344">
        <f t="shared" si="121"/>
        <v>0</v>
      </c>
      <c r="AB647" s="342">
        <v>0</v>
      </c>
      <c r="AC647" s="344">
        <f t="shared" si="122"/>
        <v>0</v>
      </c>
      <c r="AD647" s="342">
        <v>-169</v>
      </c>
      <c r="AE647" s="342">
        <v>0</v>
      </c>
      <c r="AF647" s="344">
        <f t="shared" si="114"/>
        <v>0</v>
      </c>
      <c r="AG647" s="342">
        <v>0</v>
      </c>
      <c r="AH647" s="344">
        <f t="shared" si="115"/>
        <v>0</v>
      </c>
      <c r="AI647" s="342">
        <v>0</v>
      </c>
      <c r="AJ647" s="344">
        <f t="shared" si="116"/>
        <v>0</v>
      </c>
      <c r="AK647" s="342">
        <v>0</v>
      </c>
      <c r="AL647" s="784">
        <f t="shared" si="117"/>
        <v>0</v>
      </c>
      <c r="AM647" s="350">
        <v>0</v>
      </c>
      <c r="AN647" s="350">
        <v>0</v>
      </c>
      <c r="AO647" s="350">
        <v>0</v>
      </c>
      <c r="AP647" s="639">
        <f t="shared" si="118"/>
        <v>0</v>
      </c>
    </row>
    <row r="648" spans="1:42" x14ac:dyDescent="0.2">
      <c r="A648" s="638">
        <v>42766</v>
      </c>
      <c r="B648" s="341" t="s">
        <v>134</v>
      </c>
      <c r="C648" s="351" t="s">
        <v>306</v>
      </c>
      <c r="D648" s="342">
        <v>156035.750141144</v>
      </c>
      <c r="E648" s="342">
        <v>4083</v>
      </c>
      <c r="F648" s="342">
        <v>151952.750141144</v>
      </c>
      <c r="G648" s="342">
        <v>99470.399828324094</v>
      </c>
      <c r="H648" s="342">
        <v>67632.699860462904</v>
      </c>
      <c r="I648" s="342">
        <v>31837.699967861201</v>
      </c>
      <c r="J648" s="342">
        <v>8400.8300189971906</v>
      </c>
      <c r="K648" s="343">
        <f t="shared" si="107"/>
        <v>91069.569809326917</v>
      </c>
      <c r="L648" s="342">
        <v>51625.019979439698</v>
      </c>
      <c r="M648" s="342">
        <v>953.45000231265999</v>
      </c>
      <c r="N648" s="354">
        <v>677</v>
      </c>
      <c r="O648" s="343">
        <f t="shared" si="108"/>
        <v>230.48116712133532</v>
      </c>
      <c r="P648" s="343">
        <f t="shared" si="109"/>
        <v>152.81725282037169</v>
      </c>
      <c r="Q648" s="343">
        <f t="shared" si="110"/>
        <v>146.92821244951861</v>
      </c>
      <c r="R648" s="344">
        <f t="shared" si="111"/>
        <v>0.63748467731495484</v>
      </c>
      <c r="S648" s="344">
        <f t="shared" si="112"/>
        <v>1.0464350360381693</v>
      </c>
      <c r="T648" s="343">
        <f t="shared" si="113"/>
        <v>139298.91</v>
      </c>
      <c r="U648" s="342">
        <v>112608.3</v>
      </c>
      <c r="V648" s="342">
        <v>1623.39</v>
      </c>
      <c r="W648" s="344">
        <f t="shared" si="119"/>
        <v>1.4416255284912392E-2</v>
      </c>
      <c r="X648" s="342">
        <v>2192.7399999999998</v>
      </c>
      <c r="Y648" s="344">
        <f t="shared" si="120"/>
        <v>1.9472276910316555E-2</v>
      </c>
      <c r="Z648" s="342">
        <v>1997.65</v>
      </c>
      <c r="AA648" s="344">
        <f t="shared" si="121"/>
        <v>1.7739811363815989E-2</v>
      </c>
      <c r="AB648" s="342">
        <v>11010.13</v>
      </c>
      <c r="AC648" s="344">
        <f t="shared" si="122"/>
        <v>9.7773698741566994E-2</v>
      </c>
      <c r="AD648" s="342">
        <v>26690.61</v>
      </c>
      <c r="AE648" s="342">
        <v>2215.11</v>
      </c>
      <c r="AF648" s="344">
        <f t="shared" si="114"/>
        <v>8.2992108460615929E-2</v>
      </c>
      <c r="AG648" s="342">
        <v>2183.15</v>
      </c>
      <c r="AH648" s="344">
        <f t="shared" si="115"/>
        <v>8.1794683598464035E-2</v>
      </c>
      <c r="AI648" s="342">
        <v>2210.6</v>
      </c>
      <c r="AJ648" s="344">
        <f t="shared" si="116"/>
        <v>8.2823135177502491E-2</v>
      </c>
      <c r="AK648" s="342">
        <v>9539.69</v>
      </c>
      <c r="AL648" s="784">
        <f t="shared" si="117"/>
        <v>0.35741745879918069</v>
      </c>
      <c r="AM648" s="350">
        <f>IFERROR(T648/(D648+D548+D592)*90,"0.00")</f>
        <v>28.688151716785107</v>
      </c>
      <c r="AN648" s="350">
        <f>IFERROR(U648/(F648+F592+F548)*90,"0.00")</f>
        <v>23.957725437737228</v>
      </c>
      <c r="AO648" s="350">
        <f>IFERROR(AD648/(E648+E592+E548)*90,"0.00")</f>
        <v>171.82796137339056</v>
      </c>
      <c r="AP648" s="639">
        <f t="shared" si="118"/>
        <v>8.120095566067885E-2</v>
      </c>
    </row>
    <row r="649" spans="1:42" x14ac:dyDescent="0.2">
      <c r="A649" s="638">
        <v>42766</v>
      </c>
      <c r="B649" s="341" t="s">
        <v>134</v>
      </c>
      <c r="C649" s="351" t="s">
        <v>307</v>
      </c>
      <c r="D649" s="342">
        <v>156146.04014182999</v>
      </c>
      <c r="E649" s="342">
        <v>5725</v>
      </c>
      <c r="F649" s="342">
        <v>150421.04014182999</v>
      </c>
      <c r="G649" s="342">
        <v>99722.829801622793</v>
      </c>
      <c r="H649" s="342">
        <v>63485.219804827102</v>
      </c>
      <c r="I649" s="342">
        <v>36237.609996795698</v>
      </c>
      <c r="J649" s="342">
        <v>9464.2800292968805</v>
      </c>
      <c r="K649" s="343">
        <f t="shared" ref="K649:K712" si="123">SUM(H649:I649)-J649</f>
        <v>90258.549772325932</v>
      </c>
      <c r="L649" s="342">
        <v>49937.070015545898</v>
      </c>
      <c r="M649" s="342">
        <v>2504.2300098538399</v>
      </c>
      <c r="N649" s="354">
        <v>691</v>
      </c>
      <c r="O649" s="343">
        <f t="shared" si="108"/>
        <v>225.97111453231545</v>
      </c>
      <c r="P649" s="343">
        <f t="shared" si="109"/>
        <v>150.07921869237373</v>
      </c>
      <c r="Q649" s="343">
        <f t="shared" si="110"/>
        <v>144.31668567528627</v>
      </c>
      <c r="R649" s="344">
        <f t="shared" si="111"/>
        <v>0.63865103278343105</v>
      </c>
      <c r="S649" s="344">
        <f t="shared" si="112"/>
        <v>1.0581742672883867</v>
      </c>
      <c r="T649" s="343">
        <f t="shared" si="113"/>
        <v>156169.56999999998</v>
      </c>
      <c r="U649" s="342">
        <v>121278.41999999998</v>
      </c>
      <c r="V649" s="342">
        <v>3756.72</v>
      </c>
      <c r="W649" s="344">
        <f t="shared" si="119"/>
        <v>3.097599721368402E-2</v>
      </c>
      <c r="X649" s="342">
        <v>2717.23</v>
      </c>
      <c r="Y649" s="344">
        <f t="shared" si="120"/>
        <v>2.2404892807805381E-2</v>
      </c>
      <c r="Z649" s="342">
        <v>7458.57</v>
      </c>
      <c r="AA649" s="344">
        <f t="shared" si="121"/>
        <v>6.1499564390763012E-2</v>
      </c>
      <c r="AB649" s="342">
        <v>14899.43</v>
      </c>
      <c r="AC649" s="344">
        <f t="shared" si="122"/>
        <v>0.12285310115352759</v>
      </c>
      <c r="AD649" s="342">
        <v>34891.15</v>
      </c>
      <c r="AE649" s="342">
        <v>1867.68</v>
      </c>
      <c r="AF649" s="344">
        <f t="shared" si="114"/>
        <v>5.352876015837827E-2</v>
      </c>
      <c r="AG649" s="342">
        <v>2095.36</v>
      </c>
      <c r="AH649" s="344">
        <f t="shared" si="115"/>
        <v>6.0054197124485724E-2</v>
      </c>
      <c r="AI649" s="342">
        <v>2135.2199999999998</v>
      </c>
      <c r="AJ649" s="344">
        <f t="shared" si="116"/>
        <v>6.119660716256127E-2</v>
      </c>
      <c r="AK649" s="342">
        <v>12098.93</v>
      </c>
      <c r="AL649" s="784">
        <f t="shared" si="117"/>
        <v>0.3467621445552812</v>
      </c>
      <c r="AM649" s="350">
        <f>IFERROR(T649/(D649+D593+D549)*90,"0.00")</f>
        <v>32.392317964714678</v>
      </c>
      <c r="AN649" s="350">
        <f>IFERROR(U649/(F649+F593+F549)*90,"0.00")</f>
        <v>26.001094703841463</v>
      </c>
      <c r="AO649" s="350">
        <f>IFERROR(AD649/(E649+E593+E549)*90,"0.00")</f>
        <v>222.47279489904358</v>
      </c>
      <c r="AP649" s="639">
        <f t="shared" si="118"/>
        <v>9.1261788214031955E-2</v>
      </c>
    </row>
    <row r="650" spans="1:42" x14ac:dyDescent="0.2">
      <c r="A650" s="638">
        <v>42794</v>
      </c>
      <c r="B650" s="341" t="s">
        <v>133</v>
      </c>
      <c r="C650" s="351" t="s">
        <v>161</v>
      </c>
      <c r="D650" s="342">
        <v>0</v>
      </c>
      <c r="E650" s="342">
        <v>0</v>
      </c>
      <c r="F650" s="342">
        <v>0</v>
      </c>
      <c r="G650" s="342">
        <v>0</v>
      </c>
      <c r="H650" s="342">
        <v>0</v>
      </c>
      <c r="I650" s="342">
        <v>0</v>
      </c>
      <c r="J650" s="342">
        <v>0</v>
      </c>
      <c r="K650" s="343">
        <f t="shared" si="123"/>
        <v>0</v>
      </c>
      <c r="L650" s="342">
        <v>0</v>
      </c>
      <c r="M650" s="342">
        <v>0</v>
      </c>
      <c r="N650" s="354">
        <v>0</v>
      </c>
      <c r="O650" s="343" t="str">
        <f t="shared" si="108"/>
        <v>$0.00</v>
      </c>
      <c r="P650" s="343" t="str">
        <f t="shared" si="109"/>
        <v>$0.00</v>
      </c>
      <c r="Q650" s="343" t="str">
        <f t="shared" si="110"/>
        <v>$0.00</v>
      </c>
      <c r="R650" s="344" t="str">
        <f t="shared" si="111"/>
        <v>0.00%</v>
      </c>
      <c r="S650" s="344" t="str">
        <f t="shared" si="112"/>
        <v>0.00%</v>
      </c>
      <c r="T650" s="343">
        <f t="shared" si="113"/>
        <v>0</v>
      </c>
      <c r="U650" s="342">
        <v>0</v>
      </c>
      <c r="V650" s="342">
        <v>0</v>
      </c>
      <c r="W650" s="344" t="str">
        <f t="shared" si="119"/>
        <v>0.00%</v>
      </c>
      <c r="X650" s="342">
        <v>0</v>
      </c>
      <c r="Y650" s="344" t="str">
        <f t="shared" si="120"/>
        <v>0.00%</v>
      </c>
      <c r="Z650" s="342">
        <v>0</v>
      </c>
      <c r="AA650" s="344">
        <f t="shared" si="121"/>
        <v>0</v>
      </c>
      <c r="AB650" s="342">
        <v>0</v>
      </c>
      <c r="AC650" s="344" t="str">
        <f t="shared" si="122"/>
        <v>0.00%</v>
      </c>
      <c r="AD650" s="342">
        <v>0</v>
      </c>
      <c r="AE650" s="342">
        <v>0</v>
      </c>
      <c r="AF650" s="344" t="str">
        <f t="shared" si="114"/>
        <v>0.00%</v>
      </c>
      <c r="AG650" s="342">
        <v>0</v>
      </c>
      <c r="AH650" s="344" t="str">
        <f t="shared" si="115"/>
        <v>0.00%</v>
      </c>
      <c r="AI650" s="342">
        <v>0</v>
      </c>
      <c r="AJ650" s="344">
        <f t="shared" si="116"/>
        <v>0</v>
      </c>
      <c r="AK650" s="342">
        <v>0</v>
      </c>
      <c r="AL650" s="784" t="str">
        <f t="shared" si="117"/>
        <v>0.00%</v>
      </c>
      <c r="AM650" s="350" t="str">
        <f t="shared" ref="AM650:AM657" si="124">IFERROR(T650/(D650+D594+D550)*90,"0.00")</f>
        <v>0.00</v>
      </c>
      <c r="AN650" s="350" t="str">
        <f t="shared" ref="AN650:AN657" si="125">IFERROR(U650/(F650+F594+F550)*90,"0.00")</f>
        <v>0.00</v>
      </c>
      <c r="AO650" s="350" t="str">
        <f t="shared" ref="AO650" si="126">IFERROR(AD650/(E650+E594+E550)*90,"0.00")</f>
        <v>0.00</v>
      </c>
      <c r="AP650" s="639" t="str">
        <f t="shared" si="118"/>
        <v>0.00%</v>
      </c>
    </row>
    <row r="651" spans="1:42" x14ac:dyDescent="0.2">
      <c r="A651" s="638">
        <v>42794</v>
      </c>
      <c r="B651" s="341" t="s">
        <v>133</v>
      </c>
      <c r="C651" s="351" t="s">
        <v>162</v>
      </c>
      <c r="D651" s="342">
        <v>189296.78000259446</v>
      </c>
      <c r="E651" s="342">
        <v>7787</v>
      </c>
      <c r="F651" s="342">
        <v>181509.78000259446</v>
      </c>
      <c r="G651" s="342">
        <v>113064.42998946446</v>
      </c>
      <c r="H651" s="342">
        <v>56007.53996938467</v>
      </c>
      <c r="I651" s="342">
        <v>57056.890020079903</v>
      </c>
      <c r="J651" s="342">
        <v>6257.9999976158097</v>
      </c>
      <c r="K651" s="343">
        <f t="shared" si="123"/>
        <v>106806.42999184877</v>
      </c>
      <c r="L651" s="342">
        <v>64038.550077036001</v>
      </c>
      <c r="M651" s="342">
        <v>2081.5300067067101</v>
      </c>
      <c r="N651" s="354">
        <v>969</v>
      </c>
      <c r="O651" s="343">
        <f t="shared" si="108"/>
        <v>195.35271414096437</v>
      </c>
      <c r="P651" s="343">
        <f t="shared" si="109"/>
        <v>127.11733737755598</v>
      </c>
      <c r="Q651" s="343">
        <f t="shared" si="110"/>
        <v>116.68155829666108</v>
      </c>
      <c r="R651" s="344">
        <f t="shared" si="111"/>
        <v>0.59728659931729922</v>
      </c>
      <c r="S651" s="344">
        <f t="shared" si="112"/>
        <v>0.96703461521238399</v>
      </c>
      <c r="T651" s="343">
        <f t="shared" si="113"/>
        <v>138542.03000000003</v>
      </c>
      <c r="U651" s="342">
        <v>101734.29000000001</v>
      </c>
      <c r="V651" s="342">
        <v>2881.82</v>
      </c>
      <c r="W651" s="344">
        <f t="shared" si="119"/>
        <v>2.8326928904698699E-2</v>
      </c>
      <c r="X651" s="342">
        <v>1330.12</v>
      </c>
      <c r="Y651" s="344">
        <f t="shared" si="120"/>
        <v>1.307445110198341E-2</v>
      </c>
      <c r="Z651" s="342">
        <v>-271.06</v>
      </c>
      <c r="AA651" s="344">
        <v>0</v>
      </c>
      <c r="AB651" s="342">
        <v>2341.79</v>
      </c>
      <c r="AC651" s="344">
        <f t="shared" si="122"/>
        <v>2.301868917549825E-2</v>
      </c>
      <c r="AD651" s="342">
        <v>36807.740000000005</v>
      </c>
      <c r="AE651" s="342">
        <v>4036.02</v>
      </c>
      <c r="AF651" s="344">
        <f t="shared" si="114"/>
        <v>0.10965139397311542</v>
      </c>
      <c r="AG651" s="342">
        <v>3305.87</v>
      </c>
      <c r="AH651" s="344">
        <f t="shared" si="115"/>
        <v>8.9814533573645092E-2</v>
      </c>
      <c r="AI651" s="342">
        <v>2664</v>
      </c>
      <c r="AJ651" s="344">
        <f t="shared" si="116"/>
        <v>7.2376081769758197E-2</v>
      </c>
      <c r="AK651" s="342">
        <v>12632.36</v>
      </c>
      <c r="AL651" s="784">
        <f t="shared" si="117"/>
        <v>0.34319846858296649</v>
      </c>
      <c r="AM651" s="350">
        <f>IFERROR(T651/(D651+D601+D551)*90,"0.00")</f>
        <v>22.538708044889457</v>
      </c>
      <c r="AN651" s="350">
        <f>IFERROR(U651/(F651+F601+F551)*90,"0.00")</f>
        <v>17.543708975155706</v>
      </c>
      <c r="AO651" s="350">
        <f>IFERROR(AD651/(E651+E601+E551)*90,"0.00")</f>
        <v>105.78625578796105</v>
      </c>
      <c r="AP651" s="639">
        <f t="shared" si="118"/>
        <v>5.0805062984627385E-2</v>
      </c>
    </row>
    <row r="652" spans="1:42" x14ac:dyDescent="0.2">
      <c r="A652" s="638">
        <v>42794</v>
      </c>
      <c r="B652" s="341" t="s">
        <v>133</v>
      </c>
      <c r="C652" s="351" t="s">
        <v>164</v>
      </c>
      <c r="D652" s="342">
        <v>213831.64000801</v>
      </c>
      <c r="E652" s="342">
        <v>16871</v>
      </c>
      <c r="F652" s="342">
        <v>196960.64000801</v>
      </c>
      <c r="G652" s="342">
        <v>131909.07010126099</v>
      </c>
      <c r="H652" s="342">
        <v>63388.009970665</v>
      </c>
      <c r="I652" s="342">
        <v>68521.060130596205</v>
      </c>
      <c r="J652" s="342">
        <v>8584.4499826431293</v>
      </c>
      <c r="K652" s="343">
        <f t="shared" si="123"/>
        <v>123324.62011861807</v>
      </c>
      <c r="L652" s="342">
        <v>76849.360019454703</v>
      </c>
      <c r="M652" s="342">
        <v>2253.57998782396</v>
      </c>
      <c r="N652" s="354">
        <v>961</v>
      </c>
      <c r="O652" s="343">
        <f t="shared" si="108"/>
        <v>222.50951093445369</v>
      </c>
      <c r="P652" s="343">
        <f t="shared" si="109"/>
        <v>140.19635796121887</v>
      </c>
      <c r="Q652" s="343">
        <f t="shared" si="110"/>
        <v>137.26229979319584</v>
      </c>
      <c r="R652" s="344">
        <f t="shared" si="111"/>
        <v>0.61688284341980437</v>
      </c>
      <c r="S652" s="344">
        <f t="shared" si="112"/>
        <v>1.0457002208372268</v>
      </c>
      <c r="T652" s="343">
        <f t="shared" si="113"/>
        <v>181628.06999999998</v>
      </c>
      <c r="U652" s="342">
        <v>139870.22999999998</v>
      </c>
      <c r="V652" s="342">
        <v>6074.93</v>
      </c>
      <c r="W652" s="344">
        <f t="shared" si="119"/>
        <v>4.3432616075629538E-2</v>
      </c>
      <c r="X652" s="342">
        <v>5466.01</v>
      </c>
      <c r="Y652" s="344">
        <f t="shared" si="120"/>
        <v>3.9079152154107427E-2</v>
      </c>
      <c r="Z652" s="342">
        <v>3800.92</v>
      </c>
      <c r="AA652" s="344">
        <f t="shared" si="121"/>
        <v>2.7174617500807716E-2</v>
      </c>
      <c r="AB652" s="342">
        <v>8973.2199999999993</v>
      </c>
      <c r="AC652" s="344">
        <f t="shared" si="122"/>
        <v>6.4153894649347468E-2</v>
      </c>
      <c r="AD652" s="342">
        <v>41757.840000000004</v>
      </c>
      <c r="AE652" s="342">
        <v>4383.67</v>
      </c>
      <c r="AF652" s="344">
        <f t="shared" si="114"/>
        <v>0.10497837052874381</v>
      </c>
      <c r="AG652" s="342">
        <v>2425</v>
      </c>
      <c r="AH652" s="344">
        <f t="shared" si="115"/>
        <v>5.8072927143741147E-2</v>
      </c>
      <c r="AI652" s="342">
        <v>3849.73</v>
      </c>
      <c r="AJ652" s="344">
        <f t="shared" si="116"/>
        <v>9.2191789613639011E-2</v>
      </c>
      <c r="AK652" s="342">
        <v>14698.24</v>
      </c>
      <c r="AL652" s="784">
        <f t="shared" si="117"/>
        <v>0.35198755491184408</v>
      </c>
      <c r="AM652" s="350">
        <f>IFERROR(T652/(D652+D602+D552)*90,"0.00")</f>
        <v>26.131106791748117</v>
      </c>
      <c r="AN652" s="350">
        <f>IFERROR(U652/(F652+F602+F552)*90,"0.00")</f>
        <v>21.895963495622627</v>
      </c>
      <c r="AO652" s="350">
        <f>IFERROR(AD652/(E652+E602+E552)*90,"0.00")</f>
        <v>74.209774302470237</v>
      </c>
      <c r="AP652" s="639">
        <f t="shared" si="118"/>
        <v>6.37165650867004E-2</v>
      </c>
    </row>
    <row r="653" spans="1:42" x14ac:dyDescent="0.2">
      <c r="A653" s="638">
        <v>42794</v>
      </c>
      <c r="B653" s="341" t="s">
        <v>133</v>
      </c>
      <c r="C653" s="351" t="s">
        <v>317</v>
      </c>
      <c r="D653" s="342">
        <v>164364.42000200201</v>
      </c>
      <c r="E653" s="342">
        <v>11981</v>
      </c>
      <c r="F653" s="342">
        <v>152383.42000200201</v>
      </c>
      <c r="G653" s="342">
        <v>76151.550134182005</v>
      </c>
      <c r="H653" s="342">
        <v>29298.9300060272</v>
      </c>
      <c r="I653" s="342">
        <v>46852.620128154798</v>
      </c>
      <c r="J653" s="342">
        <v>1577.1900079250299</v>
      </c>
      <c r="K653" s="343">
        <f t="shared" si="123"/>
        <v>74574.360126256972</v>
      </c>
      <c r="L653" s="342">
        <v>41559.449981689497</v>
      </c>
      <c r="M653" s="342">
        <v>70</v>
      </c>
      <c r="N653" s="354">
        <v>700</v>
      </c>
      <c r="O653" s="343">
        <f t="shared" si="108"/>
        <v>234.8063142885743</v>
      </c>
      <c r="P653" s="343">
        <f t="shared" si="109"/>
        <v>175.33567145758931</v>
      </c>
      <c r="Q653" s="343">
        <f t="shared" si="110"/>
        <v>108.78792876311715</v>
      </c>
      <c r="R653" s="344">
        <f t="shared" si="111"/>
        <v>0.46330921335198005</v>
      </c>
      <c r="S653" s="344">
        <f t="shared" si="112"/>
        <v>0.62853206889723534</v>
      </c>
      <c r="T653" s="343">
        <f t="shared" si="113"/>
        <v>80896.509999999995</v>
      </c>
      <c r="U653" s="342">
        <v>75038.47</v>
      </c>
      <c r="V653" s="342">
        <v>0</v>
      </c>
      <c r="W653" s="344">
        <f t="shared" si="119"/>
        <v>0</v>
      </c>
      <c r="X653" s="342">
        <v>0</v>
      </c>
      <c r="Y653" s="344">
        <f t="shared" si="120"/>
        <v>0</v>
      </c>
      <c r="Z653" s="342">
        <v>0</v>
      </c>
      <c r="AA653" s="344">
        <f t="shared" si="121"/>
        <v>0</v>
      </c>
      <c r="AB653" s="342">
        <v>0</v>
      </c>
      <c r="AC653" s="344">
        <f t="shared" si="122"/>
        <v>0</v>
      </c>
      <c r="AD653" s="342">
        <v>5858.04</v>
      </c>
      <c r="AE653" s="342">
        <v>0</v>
      </c>
      <c r="AF653" s="344">
        <f t="shared" si="114"/>
        <v>0</v>
      </c>
      <c r="AG653" s="342">
        <v>0</v>
      </c>
      <c r="AH653" s="344">
        <f t="shared" si="115"/>
        <v>0</v>
      </c>
      <c r="AI653" s="342">
        <v>0</v>
      </c>
      <c r="AJ653" s="344">
        <f t="shared" si="116"/>
        <v>0</v>
      </c>
      <c r="AK653" s="342">
        <v>0</v>
      </c>
      <c r="AL653" s="784">
        <f t="shared" si="117"/>
        <v>0</v>
      </c>
      <c r="AM653" s="350">
        <f>IFERROR(T653/(D653+D603)*60,"0.00")</f>
        <v>22.39425696747745</v>
      </c>
      <c r="AN653" s="350">
        <f>IFERROR(U653/(F653+F603)*60,"0.00")</f>
        <v>22.424014465098651</v>
      </c>
      <c r="AO653" s="350">
        <f>IFERROR(AD653/(E653+E603)*60,"0.00")</f>
        <v>22.019947375015661</v>
      </c>
      <c r="AP653" s="639">
        <f t="shared" si="118"/>
        <v>1.2850371883938266E-2</v>
      </c>
    </row>
    <row r="654" spans="1:42" x14ac:dyDescent="0.2">
      <c r="A654" s="638">
        <v>42794</v>
      </c>
      <c r="B654" s="341" t="s">
        <v>133</v>
      </c>
      <c r="C654" s="351" t="s">
        <v>165</v>
      </c>
      <c r="D654" s="342">
        <v>0</v>
      </c>
      <c r="E654" s="342">
        <v>0</v>
      </c>
      <c r="F654" s="342">
        <v>0</v>
      </c>
      <c r="G654" s="342">
        <v>0</v>
      </c>
      <c r="H654" s="342">
        <v>0</v>
      </c>
      <c r="I654" s="342">
        <v>0</v>
      </c>
      <c r="J654" s="342">
        <v>9</v>
      </c>
      <c r="K654" s="343">
        <f t="shared" si="123"/>
        <v>-9</v>
      </c>
      <c r="L654" s="342">
        <v>0</v>
      </c>
      <c r="M654" s="342">
        <v>0</v>
      </c>
      <c r="N654" s="354">
        <v>0</v>
      </c>
      <c r="O654" s="343" t="str">
        <f t="shared" si="108"/>
        <v>$0.00</v>
      </c>
      <c r="P654" s="343" t="str">
        <f t="shared" si="109"/>
        <v>$0.00</v>
      </c>
      <c r="Q654" s="343" t="str">
        <f t="shared" si="110"/>
        <v>$0.00</v>
      </c>
      <c r="R654" s="344" t="str">
        <f t="shared" si="111"/>
        <v>0.00%</v>
      </c>
      <c r="S654" s="344">
        <f t="shared" si="112"/>
        <v>0</v>
      </c>
      <c r="T654" s="343">
        <f t="shared" si="113"/>
        <v>-72.61</v>
      </c>
      <c r="U654" s="342">
        <v>0</v>
      </c>
      <c r="V654" s="342">
        <v>0</v>
      </c>
      <c r="W654" s="344" t="str">
        <f t="shared" si="119"/>
        <v>0.00%</v>
      </c>
      <c r="X654" s="342">
        <v>0</v>
      </c>
      <c r="Y654" s="344" t="str">
        <f t="shared" si="120"/>
        <v>0.00%</v>
      </c>
      <c r="Z654" s="342">
        <v>0</v>
      </c>
      <c r="AA654" s="344">
        <f t="shared" si="121"/>
        <v>0</v>
      </c>
      <c r="AB654" s="342">
        <v>0</v>
      </c>
      <c r="AC654" s="344" t="str">
        <f t="shared" si="122"/>
        <v>0.00%</v>
      </c>
      <c r="AD654" s="342">
        <v>-72.61</v>
      </c>
      <c r="AE654" s="342">
        <v>0</v>
      </c>
      <c r="AF654" s="344">
        <f t="shared" si="114"/>
        <v>0</v>
      </c>
      <c r="AG654" s="342">
        <v>0</v>
      </c>
      <c r="AH654" s="344">
        <f t="shared" si="115"/>
        <v>0</v>
      </c>
      <c r="AI654" s="342">
        <v>0</v>
      </c>
      <c r="AJ654" s="344">
        <f t="shared" si="116"/>
        <v>0</v>
      </c>
      <c r="AK654" s="342">
        <v>-72.61</v>
      </c>
      <c r="AL654" s="784">
        <f t="shared" si="117"/>
        <v>1</v>
      </c>
      <c r="AM654" s="350">
        <v>0</v>
      </c>
      <c r="AN654" s="350">
        <v>0</v>
      </c>
      <c r="AO654" s="350">
        <v>0</v>
      </c>
      <c r="AP654" s="639" t="str">
        <f t="shared" si="118"/>
        <v>0.00%</v>
      </c>
    </row>
    <row r="655" spans="1:42" x14ac:dyDescent="0.2">
      <c r="A655" s="638">
        <v>42794</v>
      </c>
      <c r="B655" s="341" t="s">
        <v>133</v>
      </c>
      <c r="C655" s="351" t="s">
        <v>166</v>
      </c>
      <c r="D655" s="342">
        <v>341452.3800065</v>
      </c>
      <c r="E655" s="342">
        <v>23315</v>
      </c>
      <c r="F655" s="342">
        <v>318137.3800065</v>
      </c>
      <c r="G655" s="342">
        <v>214151.32015442799</v>
      </c>
      <c r="H655" s="342">
        <v>107559.859984279</v>
      </c>
      <c r="I655" s="342">
        <v>106591.46017015001</v>
      </c>
      <c r="J655" s="342">
        <v>14827.0799742937</v>
      </c>
      <c r="K655" s="343">
        <f t="shared" si="123"/>
        <v>199324.2401801353</v>
      </c>
      <c r="L655" s="342">
        <v>135349.38986945199</v>
      </c>
      <c r="M655" s="342">
        <v>6249.1300017535696</v>
      </c>
      <c r="N655" s="354">
        <v>1519</v>
      </c>
      <c r="O655" s="343">
        <f t="shared" si="108"/>
        <v>224.78761027419355</v>
      </c>
      <c r="P655" s="343">
        <f t="shared" si="109"/>
        <v>131.56936151105626</v>
      </c>
      <c r="Q655" s="343">
        <f t="shared" si="110"/>
        <v>140.98177758685253</v>
      </c>
      <c r="R655" s="344">
        <f t="shared" si="111"/>
        <v>0.62717770527870487</v>
      </c>
      <c r="S655" s="344">
        <f t="shared" si="112"/>
        <v>1.1574071600234603</v>
      </c>
      <c r="T655" s="343">
        <f t="shared" si="113"/>
        <v>288795.33999999997</v>
      </c>
      <c r="U655" s="342">
        <v>224414.98999999996</v>
      </c>
      <c r="V655" s="342">
        <v>9294.6299999999992</v>
      </c>
      <c r="W655" s="344">
        <f t="shared" si="119"/>
        <v>4.141715310550334E-2</v>
      </c>
      <c r="X655" s="342">
        <v>4056.61</v>
      </c>
      <c r="Y655" s="344">
        <f t="shared" si="120"/>
        <v>1.8076377161792983E-2</v>
      </c>
      <c r="Z655" s="342">
        <v>3669.05</v>
      </c>
      <c r="AA655" s="344">
        <f t="shared" si="121"/>
        <v>1.6349398050460002E-2</v>
      </c>
      <c r="AB655" s="342">
        <v>10968.18</v>
      </c>
      <c r="AC655" s="344">
        <f t="shared" si="122"/>
        <v>4.8874542649757942E-2</v>
      </c>
      <c r="AD655" s="342">
        <v>64380.350000000006</v>
      </c>
      <c r="AE655" s="342">
        <v>6335.41</v>
      </c>
      <c r="AF655" s="344">
        <f t="shared" si="114"/>
        <v>9.8405957718465331E-2</v>
      </c>
      <c r="AG655" s="342">
        <v>3834.31</v>
      </c>
      <c r="AH655" s="344">
        <f t="shared" si="115"/>
        <v>5.9557147483665432E-2</v>
      </c>
      <c r="AI655" s="342">
        <v>4901.0600000000004</v>
      </c>
      <c r="AJ655" s="344">
        <f t="shared" si="116"/>
        <v>7.6126644232285157E-2</v>
      </c>
      <c r="AK655" s="342">
        <v>25023.56</v>
      </c>
      <c r="AL655" s="784">
        <f t="shared" si="117"/>
        <v>0.38868319293076226</v>
      </c>
      <c r="AM655" s="350">
        <f>IFERROR(T655/(D655+D605+D554)*90,"0.00")</f>
        <v>25.503348074392452</v>
      </c>
      <c r="AN655" s="350">
        <f>IFERROR(U655/(F655+F605+F554)*90,"0.00")</f>
        <v>21.157788722931073</v>
      </c>
      <c r="AO655" s="350">
        <f>IFERROR(AD655/(E655+E605+E554)*90,"0.00")</f>
        <v>89.780152778208191</v>
      </c>
      <c r="AP655" s="639">
        <f t="shared" si="118"/>
        <v>7.4189610169432096E-2</v>
      </c>
    </row>
    <row r="656" spans="1:42" x14ac:dyDescent="0.2">
      <c r="A656" s="638">
        <v>42794</v>
      </c>
      <c r="B656" s="341" t="s">
        <v>133</v>
      </c>
      <c r="C656" s="351" t="s">
        <v>167</v>
      </c>
      <c r="D656" s="342">
        <v>0</v>
      </c>
      <c r="E656" s="342">
        <v>0</v>
      </c>
      <c r="F656" s="342">
        <v>0</v>
      </c>
      <c r="G656" s="342">
        <v>0</v>
      </c>
      <c r="H656" s="342">
        <v>0</v>
      </c>
      <c r="I656" s="342">
        <v>0</v>
      </c>
      <c r="J656" s="342">
        <v>0</v>
      </c>
      <c r="K656" s="343">
        <f t="shared" si="123"/>
        <v>0</v>
      </c>
      <c r="L656" s="342">
        <v>0</v>
      </c>
      <c r="M656" s="342">
        <v>-30</v>
      </c>
      <c r="N656" s="354">
        <v>0</v>
      </c>
      <c r="O656" s="343" t="str">
        <f t="shared" si="108"/>
        <v>$0.00</v>
      </c>
      <c r="P656" s="343" t="str">
        <f t="shared" si="109"/>
        <v>$0.00</v>
      </c>
      <c r="Q656" s="343" t="str">
        <f t="shared" si="110"/>
        <v>$0.00</v>
      </c>
      <c r="R656" s="344" t="str">
        <f t="shared" si="111"/>
        <v>0.00%</v>
      </c>
      <c r="S656" s="344">
        <f t="shared" si="112"/>
        <v>0</v>
      </c>
      <c r="T656" s="343">
        <f t="shared" si="113"/>
        <v>-318.58999999999997</v>
      </c>
      <c r="U656" s="342">
        <v>-283.58999999999997</v>
      </c>
      <c r="V656" s="342">
        <v>0</v>
      </c>
      <c r="W656" s="344">
        <v>0</v>
      </c>
      <c r="X656" s="342">
        <v>0</v>
      </c>
      <c r="Y656" s="344">
        <f t="shared" si="120"/>
        <v>0</v>
      </c>
      <c r="Z656" s="342">
        <v>0</v>
      </c>
      <c r="AA656" s="344">
        <f t="shared" si="121"/>
        <v>0</v>
      </c>
      <c r="AB656" s="342">
        <v>-283.58999999999997</v>
      </c>
      <c r="AC656" s="344">
        <v>0</v>
      </c>
      <c r="AD656" s="342">
        <v>-35</v>
      </c>
      <c r="AE656" s="342">
        <v>0</v>
      </c>
      <c r="AF656" s="344">
        <f t="shared" si="114"/>
        <v>0</v>
      </c>
      <c r="AG656" s="342">
        <v>0</v>
      </c>
      <c r="AH656" s="344">
        <f t="shared" si="115"/>
        <v>0</v>
      </c>
      <c r="AI656" s="342">
        <v>0</v>
      </c>
      <c r="AJ656" s="344">
        <f t="shared" si="116"/>
        <v>0</v>
      </c>
      <c r="AK656" s="342">
        <v>-35</v>
      </c>
      <c r="AL656" s="784">
        <f t="shared" si="117"/>
        <v>1</v>
      </c>
      <c r="AM656" s="350">
        <v>0</v>
      </c>
      <c r="AN656" s="350">
        <v>0</v>
      </c>
      <c r="AO656" s="350">
        <v>0</v>
      </c>
      <c r="AP656" s="639">
        <f t="shared" si="118"/>
        <v>0</v>
      </c>
    </row>
    <row r="657" spans="1:42" x14ac:dyDescent="0.2">
      <c r="A657" s="638">
        <v>42794</v>
      </c>
      <c r="B657" s="341" t="s">
        <v>133</v>
      </c>
      <c r="C657" s="351" t="s">
        <v>168</v>
      </c>
      <c r="D657" s="342">
        <v>0</v>
      </c>
      <c r="E657" s="342">
        <v>0</v>
      </c>
      <c r="F657" s="342">
        <v>0</v>
      </c>
      <c r="G657" s="342">
        <v>22.79999923706</v>
      </c>
      <c r="H657" s="342">
        <v>0</v>
      </c>
      <c r="I657" s="342">
        <v>22.79999923706</v>
      </c>
      <c r="J657" s="342">
        <v>0</v>
      </c>
      <c r="K657" s="343">
        <f t="shared" si="123"/>
        <v>22.79999923706</v>
      </c>
      <c r="L657" s="342">
        <v>0</v>
      </c>
      <c r="M657" s="342">
        <v>-22.79999923706</v>
      </c>
      <c r="N657" s="354">
        <v>0</v>
      </c>
      <c r="O657" s="343" t="str">
        <f t="shared" si="108"/>
        <v>$0.00</v>
      </c>
      <c r="P657" s="343" t="str">
        <f t="shared" si="109"/>
        <v>$0.00</v>
      </c>
      <c r="Q657" s="343" t="str">
        <f t="shared" si="110"/>
        <v>$0.00</v>
      </c>
      <c r="R657" s="344" t="str">
        <f t="shared" si="111"/>
        <v>0.00%</v>
      </c>
      <c r="S657" s="344">
        <f t="shared" si="112"/>
        <v>1</v>
      </c>
      <c r="T657" s="343">
        <f t="shared" si="113"/>
        <v>-10</v>
      </c>
      <c r="U657" s="342">
        <v>0</v>
      </c>
      <c r="V657" s="342">
        <v>0</v>
      </c>
      <c r="W657" s="344" t="str">
        <f t="shared" si="119"/>
        <v>0.00%</v>
      </c>
      <c r="X657" s="342">
        <v>0</v>
      </c>
      <c r="Y657" s="344" t="str">
        <f t="shared" si="120"/>
        <v>0.00%</v>
      </c>
      <c r="Z657" s="342">
        <v>0</v>
      </c>
      <c r="AA657" s="344">
        <f t="shared" si="121"/>
        <v>0</v>
      </c>
      <c r="AB657" s="342">
        <v>0</v>
      </c>
      <c r="AC657" s="344" t="str">
        <f t="shared" si="122"/>
        <v>0.00%</v>
      </c>
      <c r="AD657" s="342">
        <v>-10</v>
      </c>
      <c r="AE657" s="342">
        <v>0</v>
      </c>
      <c r="AF657" s="344">
        <f t="shared" si="114"/>
        <v>0</v>
      </c>
      <c r="AG657" s="342">
        <v>0</v>
      </c>
      <c r="AH657" s="344">
        <f t="shared" si="115"/>
        <v>0</v>
      </c>
      <c r="AI657" s="342">
        <v>0</v>
      </c>
      <c r="AJ657" s="344">
        <f t="shared" si="116"/>
        <v>0</v>
      </c>
      <c r="AK657" s="342">
        <v>-10</v>
      </c>
      <c r="AL657" s="784">
        <f t="shared" si="117"/>
        <v>1</v>
      </c>
      <c r="AM657" s="350">
        <f t="shared" si="124"/>
        <v>-2.0790764243208571E-3</v>
      </c>
      <c r="AN657" s="350">
        <f t="shared" si="125"/>
        <v>0</v>
      </c>
      <c r="AO657" s="350">
        <v>0</v>
      </c>
      <c r="AP657" s="639">
        <f t="shared" si="118"/>
        <v>0</v>
      </c>
    </row>
    <row r="658" spans="1:42" x14ac:dyDescent="0.2">
      <c r="A658" s="638">
        <v>42794</v>
      </c>
      <c r="B658" s="341" t="s">
        <v>133</v>
      </c>
      <c r="C658" s="351" t="s">
        <v>169</v>
      </c>
      <c r="D658" s="342">
        <v>243462.420006845</v>
      </c>
      <c r="E658" s="342">
        <v>13024</v>
      </c>
      <c r="F658" s="342">
        <v>230438.420006845</v>
      </c>
      <c r="G658" s="342">
        <v>152979.729807066</v>
      </c>
      <c r="H658" s="342">
        <v>86038.869744436801</v>
      </c>
      <c r="I658" s="342">
        <v>66940.860062628999</v>
      </c>
      <c r="J658" s="342">
        <v>7111.2699923515302</v>
      </c>
      <c r="K658" s="343">
        <f t="shared" si="123"/>
        <v>145868.45981471427</v>
      </c>
      <c r="L658" s="342">
        <v>96942.540172390596</v>
      </c>
      <c r="M658" s="342">
        <v>4594.9800316076698</v>
      </c>
      <c r="N658" s="354">
        <v>1138</v>
      </c>
      <c r="O658" s="343">
        <f t="shared" si="108"/>
        <v>213.93885765100615</v>
      </c>
      <c r="P658" s="343">
        <f t="shared" si="109"/>
        <v>124.71432320109554</v>
      </c>
      <c r="Q658" s="343">
        <f t="shared" si="110"/>
        <v>134.42858506772038</v>
      </c>
      <c r="R658" s="344">
        <f t="shared" si="111"/>
        <v>0.62835048547847649</v>
      </c>
      <c r="S658" s="344">
        <f t="shared" si="112"/>
        <v>1.1347497283628245</v>
      </c>
      <c r="T658" s="343">
        <f t="shared" si="113"/>
        <v>232339.94999999998</v>
      </c>
      <c r="U658" s="342">
        <v>183681.33</v>
      </c>
      <c r="V658" s="342">
        <v>4715.83</v>
      </c>
      <c r="W658" s="344">
        <f t="shared" si="119"/>
        <v>2.5673975683865095E-2</v>
      </c>
      <c r="X658" s="342">
        <v>4294.47</v>
      </c>
      <c r="Y658" s="344">
        <f t="shared" si="120"/>
        <v>2.33800027471491E-2</v>
      </c>
      <c r="Z658" s="342">
        <v>1998.89</v>
      </c>
      <c r="AA658" s="344">
        <f t="shared" si="121"/>
        <v>1.0882379825973605E-2</v>
      </c>
      <c r="AB658" s="342">
        <v>15568.25</v>
      </c>
      <c r="AC658" s="344">
        <f t="shared" si="122"/>
        <v>8.4756844911782814E-2</v>
      </c>
      <c r="AD658" s="342">
        <v>48658.619999999995</v>
      </c>
      <c r="AE658" s="342">
        <v>3037.51</v>
      </c>
      <c r="AF658" s="344">
        <f t="shared" si="114"/>
        <v>6.2424910529727325E-2</v>
      </c>
      <c r="AG658" s="342">
        <v>4616.6499999999996</v>
      </c>
      <c r="AH658" s="344">
        <f t="shared" si="115"/>
        <v>9.4878358654643308E-2</v>
      </c>
      <c r="AI658" s="342">
        <v>3006.6</v>
      </c>
      <c r="AJ658" s="344">
        <f t="shared" si="116"/>
        <v>6.178966851094421E-2</v>
      </c>
      <c r="AK658" s="342">
        <v>18598.240000000002</v>
      </c>
      <c r="AL658" s="784">
        <f t="shared" si="117"/>
        <v>0.38221881343942765</v>
      </c>
      <c r="AM658" s="350">
        <f>IFERROR(T658/(D658+D608+D553)*90,"0.00")</f>
        <v>27.48807336093617</v>
      </c>
      <c r="AN658" s="350">
        <f>IFERROR(U658/(F658+F608+F553)*90,"0.00")</f>
        <v>23.047323223024911</v>
      </c>
      <c r="AO658" s="350">
        <f>IFERROR(AD658/(E658+E608+E553)*90,"0.00")</f>
        <v>100.81669966388876</v>
      </c>
      <c r="AP658" s="639">
        <f t="shared" si="118"/>
        <v>5.0105865864482312E-2</v>
      </c>
    </row>
    <row r="659" spans="1:42" x14ac:dyDescent="0.2">
      <c r="A659" s="638">
        <v>42794</v>
      </c>
      <c r="B659" s="341" t="s">
        <v>133</v>
      </c>
      <c r="C659" s="351" t="s">
        <v>171</v>
      </c>
      <c r="D659" s="342">
        <v>235828.10000570101</v>
      </c>
      <c r="E659" s="342">
        <v>9314</v>
      </c>
      <c r="F659" s="342">
        <v>226514.10000570101</v>
      </c>
      <c r="G659" s="342">
        <v>133784.379989421</v>
      </c>
      <c r="H659" s="342">
        <v>77368.439919745506</v>
      </c>
      <c r="I659" s="342">
        <v>56415.940069675402</v>
      </c>
      <c r="J659" s="342">
        <v>7057.7800191640899</v>
      </c>
      <c r="K659" s="343">
        <f t="shared" si="123"/>
        <v>126726.59997025682</v>
      </c>
      <c r="L659" s="342">
        <v>75858.890052381903</v>
      </c>
      <c r="M659" s="342">
        <v>7691.0799988210201</v>
      </c>
      <c r="N659" s="354">
        <v>1191</v>
      </c>
      <c r="O659" s="343">
        <f t="shared" si="108"/>
        <v>198.00848027346854</v>
      </c>
      <c r="P659" s="343">
        <f t="shared" si="109"/>
        <v>127.85737191813442</v>
      </c>
      <c r="Q659" s="343">
        <f t="shared" si="110"/>
        <v>112.32945423125182</v>
      </c>
      <c r="R659" s="344">
        <f t="shared" si="111"/>
        <v>0.56729617881069616</v>
      </c>
      <c r="S659" s="344">
        <f t="shared" si="112"/>
        <v>0.92125091317432106</v>
      </c>
      <c r="T659" s="343">
        <f t="shared" si="113"/>
        <v>257705.34000000003</v>
      </c>
      <c r="U659" s="342">
        <v>198580.85</v>
      </c>
      <c r="V659" s="342">
        <v>14784.51</v>
      </c>
      <c r="W659" s="344">
        <f t="shared" si="119"/>
        <v>7.4450834508967001E-2</v>
      </c>
      <c r="X659" s="342">
        <v>4430.83</v>
      </c>
      <c r="Y659" s="344">
        <f t="shared" si="120"/>
        <v>2.2312473735508737E-2</v>
      </c>
      <c r="Z659" s="342">
        <v>2814.4</v>
      </c>
      <c r="AA659" s="344">
        <f t="shared" si="121"/>
        <v>1.4172564977942234E-2</v>
      </c>
      <c r="AB659" s="342">
        <v>11299.01</v>
      </c>
      <c r="AC659" s="344">
        <f t="shared" si="122"/>
        <v>5.6898789586206325E-2</v>
      </c>
      <c r="AD659" s="342">
        <v>59124.490000000005</v>
      </c>
      <c r="AE659" s="342">
        <v>3510.1</v>
      </c>
      <c r="AF659" s="344">
        <f t="shared" si="114"/>
        <v>5.9367953956135595E-2</v>
      </c>
      <c r="AG659" s="342">
        <v>5035.5600000000004</v>
      </c>
      <c r="AH659" s="344">
        <f t="shared" si="115"/>
        <v>8.516876847478938E-2</v>
      </c>
      <c r="AI659" s="342">
        <v>5847.73</v>
      </c>
      <c r="AJ659" s="344">
        <f t="shared" si="116"/>
        <v>9.8905377450190249E-2</v>
      </c>
      <c r="AK659" s="342">
        <v>30030.58</v>
      </c>
      <c r="AL659" s="784">
        <f t="shared" si="117"/>
        <v>0.50792116769210183</v>
      </c>
      <c r="AM659" s="350">
        <f>IFERROR(T659/(D659+D634+D555)*90,"0.00")</f>
        <v>34.616830388285017</v>
      </c>
      <c r="AN659" s="350">
        <f>IFERROR(U659/(F659+F634+F555)*90,"0.00")</f>
        <v>27.999109061133122</v>
      </c>
      <c r="AO659" s="350">
        <f>IFERROR(AD659/(E659+E634+E555)*90,"0.00")</f>
        <v>167.91429788576838</v>
      </c>
      <c r="AP659" s="639">
        <f t="shared" si="118"/>
        <v>4.6347955686565176E-2</v>
      </c>
    </row>
    <row r="660" spans="1:42" x14ac:dyDescent="0.2">
      <c r="A660" s="638">
        <v>42794</v>
      </c>
      <c r="B660" s="341" t="s">
        <v>133</v>
      </c>
      <c r="C660" s="351" t="s">
        <v>173</v>
      </c>
      <c r="D660" s="342">
        <v>260055.230004001</v>
      </c>
      <c r="E660" s="342">
        <v>21843</v>
      </c>
      <c r="F660" s="342">
        <v>238212.230004001</v>
      </c>
      <c r="G660" s="342">
        <v>164629.99025583299</v>
      </c>
      <c r="H660" s="342">
        <v>91844.0901484489</v>
      </c>
      <c r="I660" s="342">
        <v>72785.900107383699</v>
      </c>
      <c r="J660" s="342">
        <v>8517.6900128126108</v>
      </c>
      <c r="K660" s="343">
        <f t="shared" si="123"/>
        <v>156112.30024302</v>
      </c>
      <c r="L660" s="342">
        <v>87477.669908046693</v>
      </c>
      <c r="M660" s="342">
        <v>7777.0600015073996</v>
      </c>
      <c r="N660" s="354">
        <v>1214</v>
      </c>
      <c r="O660" s="343">
        <f t="shared" si="108"/>
        <v>214.21353377594809</v>
      </c>
      <c r="P660" s="343">
        <f t="shared" si="109"/>
        <v>135.75000007779812</v>
      </c>
      <c r="Q660" s="343">
        <f t="shared" si="110"/>
        <v>135.60954716295933</v>
      </c>
      <c r="R660" s="344">
        <f t="shared" si="111"/>
        <v>0.63305779412050178</v>
      </c>
      <c r="S660" s="344">
        <f t="shared" si="112"/>
        <v>1.053410737686622</v>
      </c>
      <c r="T660" s="343">
        <f t="shared" si="113"/>
        <v>271339.3</v>
      </c>
      <c r="U660" s="342">
        <v>207545.37999999998</v>
      </c>
      <c r="V660" s="342">
        <v>7175.18</v>
      </c>
      <c r="W660" s="344">
        <f t="shared" si="119"/>
        <v>3.4571619951260783E-2</v>
      </c>
      <c r="X660" s="342">
        <v>5786.39</v>
      </c>
      <c r="Y660" s="344">
        <f t="shared" si="120"/>
        <v>2.7880119518921602E-2</v>
      </c>
      <c r="Z660" s="342">
        <v>4292.54</v>
      </c>
      <c r="AA660" s="344">
        <f t="shared" si="121"/>
        <v>2.0682416539457543E-2</v>
      </c>
      <c r="AB660" s="342">
        <v>6067.33</v>
      </c>
      <c r="AC660" s="344">
        <f t="shared" si="122"/>
        <v>2.9233751192148921E-2</v>
      </c>
      <c r="AD660" s="342">
        <v>63793.919999999998</v>
      </c>
      <c r="AE660" s="342">
        <v>5061.72</v>
      </c>
      <c r="AF660" s="344">
        <f t="shared" si="114"/>
        <v>7.9344865466803111E-2</v>
      </c>
      <c r="AG660" s="342">
        <v>6153.84</v>
      </c>
      <c r="AH660" s="344">
        <f t="shared" si="115"/>
        <v>9.6464365256124729E-2</v>
      </c>
      <c r="AI660" s="342">
        <v>4595.32</v>
      </c>
      <c r="AJ660" s="344">
        <f t="shared" si="116"/>
        <v>7.2033823912999853E-2</v>
      </c>
      <c r="AK660" s="342">
        <v>29972.62</v>
      </c>
      <c r="AL660" s="784">
        <f t="shared" si="117"/>
        <v>0.4698350563815486</v>
      </c>
      <c r="AM660" s="350">
        <f>IFERROR(T660/(D660+D636+D557)*90,"0.00")</f>
        <v>31.548544875387918</v>
      </c>
      <c r="AN660" s="350">
        <f>IFERROR(U660/(F660+F636+F557)*90,"0.00")</f>
        <v>26.117381236128715</v>
      </c>
      <c r="AO660" s="350">
        <f>IFERROR(AD660/(E660+E636+E557)*90,"0.00")</f>
        <v>97.536282725271178</v>
      </c>
      <c r="AP660" s="639">
        <f t="shared" si="118"/>
        <v>5.1684855373200542E-2</v>
      </c>
    </row>
    <row r="661" spans="1:42" x14ac:dyDescent="0.2">
      <c r="A661" s="638">
        <v>42794</v>
      </c>
      <c r="B661" s="341" t="s">
        <v>133</v>
      </c>
      <c r="C661" s="351" t="s">
        <v>174</v>
      </c>
      <c r="D661" s="342">
        <v>243119.84000564599</v>
      </c>
      <c r="E661" s="342">
        <v>10446</v>
      </c>
      <c r="F661" s="342">
        <v>232673.84000564599</v>
      </c>
      <c r="G661" s="342">
        <v>132844.58002447299</v>
      </c>
      <c r="H661" s="342">
        <v>67258.599943749607</v>
      </c>
      <c r="I661" s="342">
        <v>65585.980080723806</v>
      </c>
      <c r="J661" s="342">
        <v>5928.4000171423004</v>
      </c>
      <c r="K661" s="343">
        <f t="shared" si="123"/>
        <v>126916.18000733113</v>
      </c>
      <c r="L661" s="342">
        <v>84331.940090544507</v>
      </c>
      <c r="M661" s="342">
        <v>4622.6599952951101</v>
      </c>
      <c r="N661" s="354">
        <v>1061</v>
      </c>
      <c r="O661" s="343">
        <f t="shared" si="108"/>
        <v>229.14216777157964</v>
      </c>
      <c r="P661" s="343">
        <f t="shared" si="109"/>
        <v>145.30182838813042</v>
      </c>
      <c r="Q661" s="343">
        <f t="shared" si="110"/>
        <v>125.20695572523414</v>
      </c>
      <c r="R661" s="344">
        <f t="shared" si="111"/>
        <v>0.54641603919033666</v>
      </c>
      <c r="S661" s="344">
        <f t="shared" si="112"/>
        <v>0.89616440900725103</v>
      </c>
      <c r="T661" s="343">
        <f t="shared" si="113"/>
        <v>200557.84999999998</v>
      </c>
      <c r="U661" s="342">
        <v>140090.53999999998</v>
      </c>
      <c r="V661" s="342">
        <v>4654.45</v>
      </c>
      <c r="W661" s="344">
        <f t="shared" si="119"/>
        <v>3.3224584615063946E-2</v>
      </c>
      <c r="X661" s="342">
        <v>4176.5</v>
      </c>
      <c r="Y661" s="344">
        <f t="shared" si="120"/>
        <v>2.981286245309641E-2</v>
      </c>
      <c r="Z661" s="342">
        <v>2120.5</v>
      </c>
      <c r="AA661" s="344">
        <f t="shared" si="121"/>
        <v>1.5136639490432403E-2</v>
      </c>
      <c r="AB661" s="342">
        <v>7482.56</v>
      </c>
      <c r="AC661" s="344">
        <f t="shared" si="122"/>
        <v>5.3412314635949018E-2</v>
      </c>
      <c r="AD661" s="342">
        <v>60467.31</v>
      </c>
      <c r="AE661" s="342">
        <v>6019.69</v>
      </c>
      <c r="AF661" s="344">
        <f t="shared" si="114"/>
        <v>9.955279968630984E-2</v>
      </c>
      <c r="AG661" s="342">
        <v>6221.44</v>
      </c>
      <c r="AH661" s="344">
        <f t="shared" si="115"/>
        <v>0.1028893132504158</v>
      </c>
      <c r="AI661" s="342">
        <v>4862.1099999999997</v>
      </c>
      <c r="AJ661" s="344">
        <f t="shared" si="116"/>
        <v>8.0408901933954058E-2</v>
      </c>
      <c r="AK661" s="342">
        <v>23427</v>
      </c>
      <c r="AL661" s="784">
        <f t="shared" si="117"/>
        <v>0.38743248211306242</v>
      </c>
      <c r="AM661" s="350">
        <f>IFERROR(T661/(D661+D638+D556)*90,"0.00")</f>
        <v>30.11569701013844</v>
      </c>
      <c r="AN661" s="350">
        <f>IFERROR(U661/(F661+F638+F556)*90,"0.00")</f>
        <v>22.087858220090155</v>
      </c>
      <c r="AO661" s="350">
        <f>IFERROR(AD661/(E661+E638+E556)*90,"0.00")</f>
        <v>190.65505535313901</v>
      </c>
      <c r="AP661" s="639">
        <f t="shared" si="118"/>
        <v>3.8454842480873989E-2</v>
      </c>
    </row>
    <row r="662" spans="1:42" x14ac:dyDescent="0.2">
      <c r="A662" s="638">
        <v>42794</v>
      </c>
      <c r="B662" s="341" t="s">
        <v>133</v>
      </c>
      <c r="C662" s="351" t="s">
        <v>175</v>
      </c>
      <c r="D662" s="342">
        <v>0</v>
      </c>
      <c r="E662" s="342">
        <v>0</v>
      </c>
      <c r="F662" s="342">
        <v>0</v>
      </c>
      <c r="G662" s="342">
        <v>79</v>
      </c>
      <c r="H662" s="342">
        <v>79</v>
      </c>
      <c r="I662" s="342">
        <v>0</v>
      </c>
      <c r="J662" s="342">
        <v>0</v>
      </c>
      <c r="K662" s="343">
        <f t="shared" si="123"/>
        <v>79</v>
      </c>
      <c r="L662" s="342">
        <v>0</v>
      </c>
      <c r="M662" s="342">
        <v>-69</v>
      </c>
      <c r="N662" s="354">
        <v>0</v>
      </c>
      <c r="O662" s="343" t="str">
        <f t="shared" si="108"/>
        <v>$0.00</v>
      </c>
      <c r="P662" s="343" t="str">
        <f t="shared" si="109"/>
        <v>$0.00</v>
      </c>
      <c r="Q662" s="343" t="str">
        <f t="shared" si="110"/>
        <v>$0.00</v>
      </c>
      <c r="R662" s="344" t="str">
        <f t="shared" si="111"/>
        <v>0.00%</v>
      </c>
      <c r="S662" s="344">
        <f t="shared" si="112"/>
        <v>1.144927536231884</v>
      </c>
      <c r="T662" s="343">
        <f t="shared" si="113"/>
        <v>-19</v>
      </c>
      <c r="U662" s="342">
        <v>-9</v>
      </c>
      <c r="V662" s="342">
        <v>0</v>
      </c>
      <c r="W662" s="344">
        <v>0</v>
      </c>
      <c r="X662" s="342">
        <v>246</v>
      </c>
      <c r="Y662" s="344">
        <v>0</v>
      </c>
      <c r="Z662" s="342">
        <v>0</v>
      </c>
      <c r="AA662" s="344">
        <f t="shared" si="121"/>
        <v>0</v>
      </c>
      <c r="AB662" s="342">
        <v>-255</v>
      </c>
      <c r="AC662" s="344">
        <v>0</v>
      </c>
      <c r="AD662" s="342">
        <v>-10</v>
      </c>
      <c r="AE662" s="342">
        <v>0</v>
      </c>
      <c r="AF662" s="344">
        <f t="shared" si="114"/>
        <v>0</v>
      </c>
      <c r="AG662" s="342">
        <v>0</v>
      </c>
      <c r="AH662" s="344">
        <f t="shared" si="115"/>
        <v>0</v>
      </c>
      <c r="AI662" s="342">
        <v>0</v>
      </c>
      <c r="AJ662" s="344">
        <f t="shared" si="116"/>
        <v>0</v>
      </c>
      <c r="AK662" s="342">
        <v>-10</v>
      </c>
      <c r="AL662" s="784">
        <f t="shared" si="117"/>
        <v>1</v>
      </c>
      <c r="AM662" s="350">
        <v>0</v>
      </c>
      <c r="AN662" s="350">
        <v>0</v>
      </c>
      <c r="AO662" s="350">
        <v>0</v>
      </c>
      <c r="AP662" s="639">
        <f t="shared" si="118"/>
        <v>0</v>
      </c>
    </row>
    <row r="663" spans="1:42" x14ac:dyDescent="0.2">
      <c r="A663" s="638">
        <v>42794</v>
      </c>
      <c r="B663" s="341" t="s">
        <v>133</v>
      </c>
      <c r="C663" s="351" t="s">
        <v>177</v>
      </c>
      <c r="D663" s="342">
        <v>109496.55999971399</v>
      </c>
      <c r="E663" s="342">
        <v>6400</v>
      </c>
      <c r="F663" s="342">
        <v>103096.55999971399</v>
      </c>
      <c r="G663" s="342">
        <v>87231.050026938305</v>
      </c>
      <c r="H663" s="342">
        <v>49765.289978072004</v>
      </c>
      <c r="I663" s="342">
        <v>37465.760048866301</v>
      </c>
      <c r="J663" s="342">
        <v>7923.6499712467203</v>
      </c>
      <c r="K663" s="343">
        <f t="shared" si="123"/>
        <v>79307.400055691585</v>
      </c>
      <c r="L663" s="342">
        <v>62480.280066445499</v>
      </c>
      <c r="M663" s="342">
        <v>1574.14999866486</v>
      </c>
      <c r="N663" s="354">
        <v>485</v>
      </c>
      <c r="O663" s="343">
        <f t="shared" si="108"/>
        <v>225.76610309219382</v>
      </c>
      <c r="P663" s="343">
        <f t="shared" si="109"/>
        <v>93.695113267223988</v>
      </c>
      <c r="Q663" s="343">
        <f t="shared" si="110"/>
        <v>179.8578351070893</v>
      </c>
      <c r="R663" s="344">
        <f t="shared" si="111"/>
        <v>0.79665562121007416</v>
      </c>
      <c r="S663" s="344">
        <f t="shared" si="112"/>
        <v>2.3250155686513434</v>
      </c>
      <c r="T663" s="343">
        <f t="shared" si="113"/>
        <v>66567.029999999984</v>
      </c>
      <c r="U663" s="342">
        <v>41850.509999999987</v>
      </c>
      <c r="V663" s="342">
        <v>1464.77</v>
      </c>
      <c r="W663" s="344">
        <f t="shared" si="119"/>
        <v>3.5000051373328553E-2</v>
      </c>
      <c r="X663" s="342">
        <v>2541.6</v>
      </c>
      <c r="Y663" s="344">
        <f t="shared" si="120"/>
        <v>6.0730442711450845E-2</v>
      </c>
      <c r="Z663" s="342">
        <v>315.08999999999997</v>
      </c>
      <c r="AA663" s="344">
        <f t="shared" si="121"/>
        <v>7.5289405075350353E-3</v>
      </c>
      <c r="AB663" s="342">
        <v>3841.78</v>
      </c>
      <c r="AC663" s="344">
        <f t="shared" si="122"/>
        <v>9.179768657538466E-2</v>
      </c>
      <c r="AD663" s="342">
        <v>24716.52</v>
      </c>
      <c r="AE663" s="342">
        <v>2877.96</v>
      </c>
      <c r="AF663" s="344">
        <f t="shared" si="114"/>
        <v>0.11643872195600352</v>
      </c>
      <c r="AG663" s="342">
        <v>3248.13</v>
      </c>
      <c r="AH663" s="344">
        <f t="shared" si="115"/>
        <v>0.13141534487864798</v>
      </c>
      <c r="AI663" s="342">
        <v>1914.09</v>
      </c>
      <c r="AJ663" s="344">
        <f t="shared" si="116"/>
        <v>7.7441727233445487E-2</v>
      </c>
      <c r="AK663" s="342">
        <v>5639.36</v>
      </c>
      <c r="AL663" s="784">
        <f t="shared" si="117"/>
        <v>0.22816156967081125</v>
      </c>
      <c r="AM663" s="350">
        <f>IFERROR(T663/(D663+D641+D558)*90,"0.00")</f>
        <v>17.208909622108731</v>
      </c>
      <c r="AN663" s="350">
        <f>IFERROR(U663/(F663+F641+F558)*90,"0.00")</f>
        <v>11.515230919833837</v>
      </c>
      <c r="AO663" s="350">
        <f>IFERROR(AD663/(E663+E641+E558)*90,"0.00")</f>
        <v>105.71148600484722</v>
      </c>
      <c r="AP663" s="639">
        <f t="shared" si="118"/>
        <v>0.17436792647373153</v>
      </c>
    </row>
    <row r="664" spans="1:42" x14ac:dyDescent="0.2">
      <c r="A664" s="638">
        <v>42794</v>
      </c>
      <c r="B664" s="341" t="s">
        <v>134</v>
      </c>
      <c r="C664" s="351" t="s">
        <v>178</v>
      </c>
      <c r="D664" s="342">
        <v>356698.20027736598</v>
      </c>
      <c r="E664" s="342">
        <v>14950</v>
      </c>
      <c r="F664" s="342">
        <v>341748.20027736598</v>
      </c>
      <c r="G664" s="342">
        <v>226675.649374481</v>
      </c>
      <c r="H664" s="342">
        <v>126411.569342609</v>
      </c>
      <c r="I664" s="342">
        <v>100264.080031872</v>
      </c>
      <c r="J664" s="342">
        <v>16018.5299732685</v>
      </c>
      <c r="K664" s="343">
        <f t="shared" si="123"/>
        <v>210657.11940121249</v>
      </c>
      <c r="L664" s="342">
        <v>97374.850304801002</v>
      </c>
      <c r="M664" s="342">
        <v>5435.97004020028</v>
      </c>
      <c r="N664" s="354">
        <v>1582</v>
      </c>
      <c r="O664" s="343">
        <f t="shared" si="108"/>
        <v>225.47294581375851</v>
      </c>
      <c r="P664" s="343">
        <f t="shared" si="109"/>
        <v>160.48506948948463</v>
      </c>
      <c r="Q664" s="343">
        <f t="shared" si="110"/>
        <v>143.28422842887548</v>
      </c>
      <c r="R664" s="344">
        <f t="shared" si="111"/>
        <v>0.63548301953365516</v>
      </c>
      <c r="S664" s="344">
        <f t="shared" si="112"/>
        <v>0.95294381510424775</v>
      </c>
      <c r="T664" s="343">
        <f t="shared" si="113"/>
        <v>399153.54999999993</v>
      </c>
      <c r="U664" s="342">
        <v>298682.40999999997</v>
      </c>
      <c r="V664" s="342">
        <v>9246.74</v>
      </c>
      <c r="W664" s="344">
        <f t="shared" si="119"/>
        <v>3.0958435081597208E-2</v>
      </c>
      <c r="X664" s="342">
        <v>4511.22</v>
      </c>
      <c r="Y664" s="344">
        <f t="shared" si="120"/>
        <v>1.5103735101106224E-2</v>
      </c>
      <c r="Z664" s="342">
        <v>6374.39</v>
      </c>
      <c r="AA664" s="344">
        <f t="shared" si="121"/>
        <v>2.1341698695949322E-2</v>
      </c>
      <c r="AB664" s="342">
        <v>13268.14</v>
      </c>
      <c r="AC664" s="344">
        <f t="shared" si="122"/>
        <v>4.442223430566266E-2</v>
      </c>
      <c r="AD664" s="342">
        <v>100471.13999999998</v>
      </c>
      <c r="AE664" s="342">
        <v>9120.3799999999992</v>
      </c>
      <c r="AF664" s="344">
        <f t="shared" si="114"/>
        <v>9.0776117400479389E-2</v>
      </c>
      <c r="AG664" s="342">
        <v>8182.38</v>
      </c>
      <c r="AH664" s="344">
        <f t="shared" si="115"/>
        <v>8.1440103098262856E-2</v>
      </c>
      <c r="AI664" s="342">
        <v>7884.33</v>
      </c>
      <c r="AJ664" s="344">
        <f t="shared" si="116"/>
        <v>7.8473579577180083E-2</v>
      </c>
      <c r="AK664" s="342">
        <v>31526.23</v>
      </c>
      <c r="AL664" s="784">
        <f t="shared" si="117"/>
        <v>0.31378393835284446</v>
      </c>
      <c r="AM664" s="350">
        <f>IFERROR(T664/(D664+D646+D591)*90,"0.00")</f>
        <v>32.934829550087457</v>
      </c>
      <c r="AN664" s="350">
        <f>IFERROR(U664/(F664+F646+F591)*90,"0.00")</f>
        <v>25.81937112440745</v>
      </c>
      <c r="AO664" s="350">
        <f>IFERROR(AD664/(E664+E646+E591)*90,"0.00")</f>
        <v>182.22935046260352</v>
      </c>
      <c r="AP664" s="639">
        <f t="shared" si="118"/>
        <v>6.3093053217280107E-2</v>
      </c>
    </row>
    <row r="665" spans="1:42" x14ac:dyDescent="0.2">
      <c r="A665" s="638">
        <v>42794</v>
      </c>
      <c r="B665" s="341" t="s">
        <v>134</v>
      </c>
      <c r="C665" s="351" t="s">
        <v>318</v>
      </c>
      <c r="D665" s="342">
        <v>83373.850027084394</v>
      </c>
      <c r="E665" s="342">
        <v>4607</v>
      </c>
      <c r="F665" s="342">
        <v>78766.850027084394</v>
      </c>
      <c r="G665" s="342">
        <v>23865.649946212801</v>
      </c>
      <c r="H665" s="342">
        <v>5831.0499706268301</v>
      </c>
      <c r="I665" s="342">
        <v>18034.599975585901</v>
      </c>
      <c r="J665" s="342">
        <v>93.519996643065994</v>
      </c>
      <c r="K665" s="343">
        <f t="shared" si="123"/>
        <v>23772.129949569666</v>
      </c>
      <c r="L665" s="342">
        <v>5409.6599960327103</v>
      </c>
      <c r="M665" s="342">
        <v>0</v>
      </c>
      <c r="N665" s="354">
        <v>353</v>
      </c>
      <c r="O665" s="343">
        <f t="shared" si="108"/>
        <v>236.18654398607478</v>
      </c>
      <c r="P665" s="343">
        <f t="shared" si="109"/>
        <v>220.86172813329088</v>
      </c>
      <c r="Q665" s="343">
        <f t="shared" si="110"/>
        <v>67.608073502019067</v>
      </c>
      <c r="R665" s="344">
        <f t="shared" si="111"/>
        <v>0.28624862517995586</v>
      </c>
      <c r="S665" s="344">
        <f t="shared" si="112"/>
        <v>0.30647803512756788</v>
      </c>
      <c r="T665" s="343">
        <f t="shared" si="113"/>
        <v>56052.06</v>
      </c>
      <c r="U665" s="342">
        <v>54246.7</v>
      </c>
      <c r="V665" s="342">
        <v>0</v>
      </c>
      <c r="W665" s="344">
        <f t="shared" si="119"/>
        <v>0</v>
      </c>
      <c r="X665" s="342">
        <v>0</v>
      </c>
      <c r="Y665" s="344">
        <f t="shared" si="120"/>
        <v>0</v>
      </c>
      <c r="Z665" s="342">
        <v>0</v>
      </c>
      <c r="AA665" s="344">
        <f t="shared" si="121"/>
        <v>0</v>
      </c>
      <c r="AB665" s="342">
        <v>0</v>
      </c>
      <c r="AC665" s="344">
        <f t="shared" si="122"/>
        <v>0</v>
      </c>
      <c r="AD665" s="342">
        <v>1805.36</v>
      </c>
      <c r="AE665" s="342">
        <v>0</v>
      </c>
      <c r="AF665" s="344">
        <f t="shared" si="114"/>
        <v>0</v>
      </c>
      <c r="AG665" s="342">
        <v>0</v>
      </c>
      <c r="AH665" s="344">
        <f t="shared" si="115"/>
        <v>0</v>
      </c>
      <c r="AI665" s="342">
        <v>0</v>
      </c>
      <c r="AJ665" s="344">
        <f t="shared" si="116"/>
        <v>0</v>
      </c>
      <c r="AK665" s="342">
        <v>0</v>
      </c>
      <c r="AL665" s="784">
        <f t="shared" si="117"/>
        <v>0</v>
      </c>
      <c r="AM665" s="350">
        <f>IFERROR(T665/(D665+D647)*60,"0.00")</f>
        <v>39.451125147807126</v>
      </c>
      <c r="AN665" s="350">
        <f>IFERROR(U665/(F665+F647)*60,"0.00")</f>
        <v>40.374219200150947</v>
      </c>
      <c r="AO665" s="350">
        <f>IFERROR(AD665/(E665+E647)*60,"0.00")</f>
        <v>23.38549222797927</v>
      </c>
      <c r="AP665" s="639">
        <f t="shared" si="118"/>
        <v>1.1995250204718181E-3</v>
      </c>
    </row>
    <row r="666" spans="1:42" x14ac:dyDescent="0.2">
      <c r="A666" s="638">
        <v>42794</v>
      </c>
      <c r="B666" s="341" t="s">
        <v>134</v>
      </c>
      <c r="C666" s="351" t="s">
        <v>306</v>
      </c>
      <c r="D666" s="342">
        <v>140163.600154877</v>
      </c>
      <c r="E666" s="342">
        <v>3925</v>
      </c>
      <c r="F666" s="342">
        <v>136238.600154877</v>
      </c>
      <c r="G666" s="342">
        <v>83900.389710474803</v>
      </c>
      <c r="H666" s="342">
        <v>55408.289701968402</v>
      </c>
      <c r="I666" s="342">
        <v>28492.100008506299</v>
      </c>
      <c r="J666" s="342">
        <v>4920.2599883079502</v>
      </c>
      <c r="K666" s="343">
        <f t="shared" si="123"/>
        <v>78980.129722166748</v>
      </c>
      <c r="L666" s="342">
        <v>42460.370003402197</v>
      </c>
      <c r="M666" s="342">
        <v>2264.5200020074799</v>
      </c>
      <c r="N666" s="354">
        <v>611</v>
      </c>
      <c r="O666" s="343">
        <f t="shared" si="108"/>
        <v>229.4003275857234</v>
      </c>
      <c r="P666" s="343">
        <f t="shared" si="109"/>
        <v>156.20083494184502</v>
      </c>
      <c r="Q666" s="343">
        <f t="shared" si="110"/>
        <v>137.31651343776548</v>
      </c>
      <c r="R666" s="344">
        <f t="shared" si="111"/>
        <v>0.59858900326309417</v>
      </c>
      <c r="S666" s="344">
        <f t="shared" si="112"/>
        <v>0.92688716566731044</v>
      </c>
      <c r="T666" s="343">
        <f t="shared" si="113"/>
        <v>150111.93</v>
      </c>
      <c r="U666" s="342">
        <v>122281.08</v>
      </c>
      <c r="V666" s="342">
        <v>1358.38</v>
      </c>
      <c r="W666" s="344">
        <f t="shared" si="119"/>
        <v>1.1108668650947473E-2</v>
      </c>
      <c r="X666" s="342">
        <v>1104.6400000000001</v>
      </c>
      <c r="Y666" s="344">
        <f t="shared" si="120"/>
        <v>9.033613376656471E-3</v>
      </c>
      <c r="Z666" s="342">
        <v>2317.33</v>
      </c>
      <c r="AA666" s="344">
        <f t="shared" si="121"/>
        <v>1.8950846688629182E-2</v>
      </c>
      <c r="AB666" s="342">
        <v>6019.95</v>
      </c>
      <c r="AC666" s="344">
        <f t="shared" si="122"/>
        <v>4.9230428779333646E-2</v>
      </c>
      <c r="AD666" s="342">
        <v>27830.85</v>
      </c>
      <c r="AE666" s="342">
        <v>2196.42</v>
      </c>
      <c r="AF666" s="344">
        <f t="shared" si="114"/>
        <v>7.8920334808315243E-2</v>
      </c>
      <c r="AG666" s="342">
        <v>1570.9</v>
      </c>
      <c r="AH666" s="344">
        <f t="shared" si="115"/>
        <v>5.6444557029339752E-2</v>
      </c>
      <c r="AI666" s="342">
        <v>1590.31</v>
      </c>
      <c r="AJ666" s="344">
        <f t="shared" si="116"/>
        <v>5.7141984524367744E-2</v>
      </c>
      <c r="AK666" s="342">
        <v>9689.58</v>
      </c>
      <c r="AL666" s="784">
        <f t="shared" si="117"/>
        <v>0.34815968610373021</v>
      </c>
      <c r="AM666" s="350">
        <f>IFERROR(T666/(D666+D648+D592)*90,"0.00")</f>
        <v>30.914943673194767</v>
      </c>
      <c r="AN666" s="350">
        <f>IFERROR(U666/(F666+F648+F592)*90,"0.00")</f>
        <v>25.905308868024676</v>
      </c>
      <c r="AO666" s="350">
        <f>IFERROR(AD666/(E666+E648+E592)*90,"0.00")</f>
        <v>205.64667487684727</v>
      </c>
      <c r="AP666" s="639">
        <f t="shared" si="118"/>
        <v>5.1554133334391176E-2</v>
      </c>
    </row>
    <row r="667" spans="1:42" x14ac:dyDescent="0.2">
      <c r="A667" s="638">
        <v>42794</v>
      </c>
      <c r="B667" s="341" t="s">
        <v>134</v>
      </c>
      <c r="C667" s="351" t="s">
        <v>307</v>
      </c>
      <c r="D667" s="342">
        <v>164745.04019212699</v>
      </c>
      <c r="E667" s="342">
        <v>3151</v>
      </c>
      <c r="F667" s="342">
        <v>161594.04019212699</v>
      </c>
      <c r="G667" s="342">
        <v>89401.809475006507</v>
      </c>
      <c r="H667" s="342">
        <v>55952.649484695903</v>
      </c>
      <c r="I667" s="342">
        <v>33449.159990310698</v>
      </c>
      <c r="J667" s="342">
        <v>5195.3399913310996</v>
      </c>
      <c r="K667" s="343">
        <f t="shared" si="123"/>
        <v>84206.469483675493</v>
      </c>
      <c r="L667" s="342">
        <v>42226.610138265401</v>
      </c>
      <c r="M667" s="342">
        <v>2344.7500154078002</v>
      </c>
      <c r="N667" s="354">
        <v>695</v>
      </c>
      <c r="O667" s="343">
        <f t="shared" si="108"/>
        <v>237.04322329802446</v>
      </c>
      <c r="P667" s="343">
        <f t="shared" si="109"/>
        <v>172.91176983950186</v>
      </c>
      <c r="Q667" s="343">
        <f t="shared" si="110"/>
        <v>128.63569708634043</v>
      </c>
      <c r="R667" s="344">
        <f t="shared" si="111"/>
        <v>0.54266768438518986</v>
      </c>
      <c r="S667" s="344">
        <f t="shared" si="112"/>
        <v>0.7775534891038276</v>
      </c>
      <c r="T667" s="343">
        <f t="shared" si="113"/>
        <v>182030.04000000004</v>
      </c>
      <c r="U667" s="342">
        <v>147762.15000000002</v>
      </c>
      <c r="V667" s="342">
        <v>2040.07</v>
      </c>
      <c r="W667" s="344">
        <f t="shared" si="119"/>
        <v>1.3806445019918833E-2</v>
      </c>
      <c r="X667" s="342">
        <v>2459.23</v>
      </c>
      <c r="Y667" s="344">
        <f t="shared" si="120"/>
        <v>1.6643166061132704E-2</v>
      </c>
      <c r="Z667" s="342">
        <v>2612.1999999999998</v>
      </c>
      <c r="AA667" s="344">
        <f t="shared" si="121"/>
        <v>1.767841087856396E-2</v>
      </c>
      <c r="AB667" s="342">
        <v>12656.98</v>
      </c>
      <c r="AC667" s="344">
        <f t="shared" si="122"/>
        <v>8.5657795314970697E-2</v>
      </c>
      <c r="AD667" s="342">
        <v>34267.89</v>
      </c>
      <c r="AE667" s="342">
        <v>2964.08</v>
      </c>
      <c r="AF667" s="344">
        <f t="shared" si="114"/>
        <v>8.6497301117751918E-2</v>
      </c>
      <c r="AG667" s="342">
        <v>2049.2399999999998</v>
      </c>
      <c r="AH667" s="344">
        <f t="shared" si="115"/>
        <v>5.9800588831118572E-2</v>
      </c>
      <c r="AI667" s="342">
        <v>2356.25</v>
      </c>
      <c r="AJ667" s="344">
        <f t="shared" si="116"/>
        <v>6.8759704784858364E-2</v>
      </c>
      <c r="AK667" s="342">
        <v>11716.8</v>
      </c>
      <c r="AL667" s="784">
        <f t="shared" si="117"/>
        <v>0.34191775449261685</v>
      </c>
      <c r="AM667" s="350">
        <f>IFERROR(T667/(D667+D649+D593)*90,"0.00")</f>
        <v>36.325269800338674</v>
      </c>
      <c r="AN667" s="350">
        <f>IFERROR(U667/(F667+F649+F593)*90,"0.00")</f>
        <v>30.35687431820071</v>
      </c>
      <c r="AO667" s="350">
        <f>IFERROR(AD667/(E667+E649+E593)*90,"0.00")</f>
        <v>238.61586847195358</v>
      </c>
      <c r="AP667" s="639">
        <f t="shared" si="118"/>
        <v>4.3231928902141198E-2</v>
      </c>
    </row>
    <row r="668" spans="1:42" x14ac:dyDescent="0.2">
      <c r="A668" s="638">
        <v>42794</v>
      </c>
      <c r="B668" s="341" t="s">
        <v>135</v>
      </c>
      <c r="C668" s="351" t="s">
        <v>181</v>
      </c>
      <c r="D668" s="342">
        <v>117980.220002441</v>
      </c>
      <c r="E668" s="342">
        <v>8709</v>
      </c>
      <c r="F668" s="342">
        <v>109271.220002441</v>
      </c>
      <c r="G668" s="342">
        <v>85060.880419433102</v>
      </c>
      <c r="H668" s="342">
        <v>51324.9601964951</v>
      </c>
      <c r="I668" s="342">
        <v>33735.920222938097</v>
      </c>
      <c r="J668" s="342">
        <v>5375.7200684547397</v>
      </c>
      <c r="K668" s="343">
        <f t="shared" si="123"/>
        <v>79685.160350978462</v>
      </c>
      <c r="L668" s="342">
        <v>39744.669577598601</v>
      </c>
      <c r="M668" s="342">
        <v>3404.2000064849899</v>
      </c>
      <c r="N668" s="354">
        <v>821</v>
      </c>
      <c r="O668" s="343">
        <f t="shared" si="108"/>
        <v>143.70306943050062</v>
      </c>
      <c r="P668" s="343">
        <f t="shared" si="109"/>
        <v>91.146590034540083</v>
      </c>
      <c r="Q668" s="343">
        <f t="shared" si="110"/>
        <v>103.60643169236687</v>
      </c>
      <c r="R668" s="344">
        <f t="shared" si="111"/>
        <v>0.7209757738854301</v>
      </c>
      <c r="S668" s="344">
        <f t="shared" si="112"/>
        <v>1.2246794103071934</v>
      </c>
      <c r="T668" s="343">
        <f t="shared" si="113"/>
        <v>113695.34</v>
      </c>
      <c r="U668" s="342">
        <v>86529.939999999988</v>
      </c>
      <c r="V668" s="342">
        <v>3508.54</v>
      </c>
      <c r="W668" s="344">
        <f t="shared" si="119"/>
        <v>4.0547121609006087E-2</v>
      </c>
      <c r="X668" s="342">
        <v>611.49</v>
      </c>
      <c r="Y668" s="344">
        <f t="shared" si="120"/>
        <v>7.0668025425650368E-3</v>
      </c>
      <c r="Z668" s="342">
        <v>3073.98</v>
      </c>
      <c r="AA668" s="344">
        <f t="shared" si="121"/>
        <v>3.5525044857306044E-2</v>
      </c>
      <c r="AB668" s="342">
        <v>3473.43</v>
      </c>
      <c r="AC668" s="344">
        <f t="shared" si="122"/>
        <v>4.0141366098254548E-2</v>
      </c>
      <c r="AD668" s="342">
        <v>27165.4</v>
      </c>
      <c r="AE668" s="342">
        <v>2636.54</v>
      </c>
      <c r="AF668" s="344">
        <f t="shared" si="114"/>
        <v>9.7055077414652455E-2</v>
      </c>
      <c r="AG668" s="342">
        <v>1780.8</v>
      </c>
      <c r="AH668" s="344">
        <f t="shared" si="115"/>
        <v>6.5553976749836179E-2</v>
      </c>
      <c r="AI668" s="342">
        <v>2313.5500000000002</v>
      </c>
      <c r="AJ668" s="344">
        <f t="shared" si="116"/>
        <v>8.5165320591634952E-2</v>
      </c>
      <c r="AK668" s="342">
        <v>6732.72</v>
      </c>
      <c r="AL668" s="784">
        <f t="shared" si="117"/>
        <v>0.24784173986026342</v>
      </c>
      <c r="AM668" s="350">
        <f>IFERROR(T668/(D668+D599+D559)*90,"0.00")</f>
        <v>28.062952447172371</v>
      </c>
      <c r="AN668" s="350">
        <f>IFERROR(U668/(F668+F599+F559)*90,"0.00")</f>
        <v>22.920926970562657</v>
      </c>
      <c r="AO668" s="350">
        <f>IFERROR(AD668/(E668+E599+E559)*90,"0.00")</f>
        <v>98.322448323011344</v>
      </c>
      <c r="AP668" s="639">
        <f t="shared" si="118"/>
        <v>7.1837806459470008E-2</v>
      </c>
    </row>
    <row r="669" spans="1:42" x14ac:dyDescent="0.2">
      <c r="A669" s="638">
        <v>42794</v>
      </c>
      <c r="B669" s="341" t="s">
        <v>135</v>
      </c>
      <c r="C669" s="351" t="s">
        <v>182</v>
      </c>
      <c r="D669" s="342">
        <v>0</v>
      </c>
      <c r="E669" s="342">
        <v>0</v>
      </c>
      <c r="F669" s="342">
        <v>0</v>
      </c>
      <c r="G669" s="342">
        <v>50</v>
      </c>
      <c r="H669" s="342">
        <v>0</v>
      </c>
      <c r="I669" s="342">
        <v>50</v>
      </c>
      <c r="J669" s="342">
        <v>0</v>
      </c>
      <c r="K669" s="343">
        <f t="shared" si="123"/>
        <v>50</v>
      </c>
      <c r="L669" s="342">
        <v>0</v>
      </c>
      <c r="M669" s="342">
        <v>-50</v>
      </c>
      <c r="N669" s="354">
        <v>0</v>
      </c>
      <c r="O669" s="343" t="str">
        <f t="shared" si="108"/>
        <v>$0.00</v>
      </c>
      <c r="P669" s="343" t="str">
        <f t="shared" si="109"/>
        <v>$0.00</v>
      </c>
      <c r="Q669" s="343" t="str">
        <f t="shared" si="110"/>
        <v>$0.00</v>
      </c>
      <c r="R669" s="344" t="str">
        <f t="shared" si="111"/>
        <v>0.00%</v>
      </c>
      <c r="S669" s="344">
        <f t="shared" si="112"/>
        <v>1</v>
      </c>
      <c r="T669" s="343">
        <f t="shared" si="113"/>
        <v>-229.62</v>
      </c>
      <c r="U669" s="342">
        <v>-194.96</v>
      </c>
      <c r="V669" s="342">
        <v>0</v>
      </c>
      <c r="W669" s="344">
        <v>0</v>
      </c>
      <c r="X669" s="342">
        <v>0</v>
      </c>
      <c r="Y669" s="344">
        <f t="shared" si="120"/>
        <v>0</v>
      </c>
      <c r="Z669" s="342">
        <v>0</v>
      </c>
      <c r="AA669" s="344">
        <f t="shared" si="121"/>
        <v>0</v>
      </c>
      <c r="AB669" s="342">
        <v>-194.96</v>
      </c>
      <c r="AC669" s="344">
        <v>0</v>
      </c>
      <c r="AD669" s="342">
        <v>-34.659999999999997</v>
      </c>
      <c r="AE669" s="342">
        <v>0</v>
      </c>
      <c r="AF669" s="344">
        <f t="shared" si="114"/>
        <v>0</v>
      </c>
      <c r="AG669" s="342">
        <v>0</v>
      </c>
      <c r="AH669" s="344">
        <f t="shared" si="115"/>
        <v>0</v>
      </c>
      <c r="AI669" s="342">
        <v>0</v>
      </c>
      <c r="AJ669" s="344">
        <f t="shared" si="116"/>
        <v>0</v>
      </c>
      <c r="AK669" s="342">
        <v>-34.659999999999997</v>
      </c>
      <c r="AL669" s="784">
        <f t="shared" si="117"/>
        <v>1</v>
      </c>
      <c r="AM669" s="350">
        <v>0</v>
      </c>
      <c r="AN669" s="350">
        <v>0</v>
      </c>
      <c r="AO669" s="350">
        <v>0</v>
      </c>
      <c r="AP669" s="639">
        <f t="shared" si="118"/>
        <v>0</v>
      </c>
    </row>
    <row r="670" spans="1:42" x14ac:dyDescent="0.2">
      <c r="A670" s="638">
        <v>42794</v>
      </c>
      <c r="B670" s="341" t="s">
        <v>135</v>
      </c>
      <c r="C670" s="351" t="s">
        <v>183</v>
      </c>
      <c r="D670" s="342">
        <v>194862.5</v>
      </c>
      <c r="E670" s="342">
        <v>11004</v>
      </c>
      <c r="F670" s="342">
        <v>183858.5</v>
      </c>
      <c r="G670" s="342">
        <v>125107.160963416</v>
      </c>
      <c r="H670" s="342">
        <v>58223.930565476403</v>
      </c>
      <c r="I670" s="342">
        <v>66883.230397939697</v>
      </c>
      <c r="J670" s="342">
        <v>10610.8300544024</v>
      </c>
      <c r="K670" s="343">
        <f t="shared" si="123"/>
        <v>114496.3309090137</v>
      </c>
      <c r="L670" s="342">
        <v>70793.139237284704</v>
      </c>
      <c r="M670" s="342">
        <v>3473.1000067889699</v>
      </c>
      <c r="N670" s="354">
        <v>945</v>
      </c>
      <c r="O670" s="343">
        <f t="shared" si="108"/>
        <v>206.2037037037037</v>
      </c>
      <c r="P670" s="343">
        <f t="shared" si="109"/>
        <v>127.61509074701199</v>
      </c>
      <c r="Q670" s="343">
        <f t="shared" si="110"/>
        <v>132.38853012001704</v>
      </c>
      <c r="R670" s="344">
        <f t="shared" si="111"/>
        <v>0.64202789640600988</v>
      </c>
      <c r="S670" s="344">
        <f t="shared" si="112"/>
        <v>1.1374884852060922</v>
      </c>
      <c r="T670" s="343">
        <f t="shared" si="113"/>
        <v>144141.74</v>
      </c>
      <c r="U670" s="342">
        <v>107991.16</v>
      </c>
      <c r="V670" s="342">
        <v>3933.2</v>
      </c>
      <c r="W670" s="344">
        <f t="shared" si="119"/>
        <v>3.6421499685715016E-2</v>
      </c>
      <c r="X670" s="342">
        <v>2072.77</v>
      </c>
      <c r="Y670" s="344">
        <f t="shared" si="120"/>
        <v>1.91938858699175E-2</v>
      </c>
      <c r="Z670" s="342">
        <v>1194.78</v>
      </c>
      <c r="AA670" s="344">
        <f t="shared" si="121"/>
        <v>1.1063683360749157E-2</v>
      </c>
      <c r="AB670" s="342">
        <v>9266.24</v>
      </c>
      <c r="AC670" s="344">
        <f t="shared" si="122"/>
        <v>8.5805541861018991E-2</v>
      </c>
      <c r="AD670" s="342">
        <v>36150.58</v>
      </c>
      <c r="AE670" s="342">
        <v>3127.45</v>
      </c>
      <c r="AF670" s="344">
        <f t="shared" si="114"/>
        <v>8.6511751678672921E-2</v>
      </c>
      <c r="AG670" s="342">
        <v>3612.93</v>
      </c>
      <c r="AH670" s="344">
        <f t="shared" si="115"/>
        <v>9.9941135107652485E-2</v>
      </c>
      <c r="AI670" s="342">
        <v>1962.26</v>
      </c>
      <c r="AJ670" s="344">
        <f t="shared" si="116"/>
        <v>5.4280180290330056E-2</v>
      </c>
      <c r="AK670" s="342">
        <v>9741.0300000000007</v>
      </c>
      <c r="AL670" s="784">
        <f t="shared" si="117"/>
        <v>0.26945708754880282</v>
      </c>
      <c r="AM670" s="350">
        <f>IFERROR(T670/(D670+D619+D560)*90,"0.00")</f>
        <v>22.810004378168234</v>
      </c>
      <c r="AN670" s="350">
        <f>IFERROR(U670/(F670+F619+F560)*90,"0.00")</f>
        <v>18.419270559919646</v>
      </c>
      <c r="AO670" s="350">
        <f>IFERROR(AD670/(E670+E619+E560)*90,"0.00")</f>
        <v>79.227394925242294</v>
      </c>
      <c r="AP670" s="639">
        <f t="shared" si="118"/>
        <v>8.7986393507486632E-2</v>
      </c>
    </row>
    <row r="671" spans="1:42" x14ac:dyDescent="0.2">
      <c r="A671" s="638">
        <v>42794</v>
      </c>
      <c r="B671" s="341" t="s">
        <v>135</v>
      </c>
      <c r="C671" s="351" t="s">
        <v>184</v>
      </c>
      <c r="D671" s="342">
        <v>0</v>
      </c>
      <c r="E671" s="342">
        <v>0</v>
      </c>
      <c r="F671" s="342">
        <v>0</v>
      </c>
      <c r="G671" s="342">
        <v>0</v>
      </c>
      <c r="H671" s="342">
        <v>0</v>
      </c>
      <c r="I671" s="342">
        <v>0</v>
      </c>
      <c r="J671" s="342">
        <v>0</v>
      </c>
      <c r="K671" s="343">
        <f t="shared" si="123"/>
        <v>0</v>
      </c>
      <c r="L671" s="342">
        <v>0</v>
      </c>
      <c r="M671" s="342">
        <v>-16.269999742507</v>
      </c>
      <c r="N671" s="354">
        <v>0</v>
      </c>
      <c r="O671" s="343" t="str">
        <f t="shared" si="108"/>
        <v>$0.00</v>
      </c>
      <c r="P671" s="343" t="str">
        <f t="shared" si="109"/>
        <v>$0.00</v>
      </c>
      <c r="Q671" s="343" t="str">
        <f t="shared" si="110"/>
        <v>$0.00</v>
      </c>
      <c r="R671" s="344" t="str">
        <f t="shared" si="111"/>
        <v>0.00%</v>
      </c>
      <c r="S671" s="344">
        <f t="shared" si="112"/>
        <v>0</v>
      </c>
      <c r="T671" s="343">
        <f t="shared" si="113"/>
        <v>-167</v>
      </c>
      <c r="U671" s="342">
        <v>-167</v>
      </c>
      <c r="V671" s="342">
        <v>0</v>
      </c>
      <c r="W671" s="344">
        <v>0</v>
      </c>
      <c r="X671" s="342">
        <v>0</v>
      </c>
      <c r="Y671" s="344">
        <f t="shared" si="120"/>
        <v>0</v>
      </c>
      <c r="Z671" s="342">
        <v>0</v>
      </c>
      <c r="AA671" s="344">
        <f t="shared" si="121"/>
        <v>0</v>
      </c>
      <c r="AB671" s="342">
        <v>-167</v>
      </c>
      <c r="AC671" s="344">
        <v>0</v>
      </c>
      <c r="AD671" s="342">
        <v>0</v>
      </c>
      <c r="AE671" s="342">
        <v>0</v>
      </c>
      <c r="AF671" s="344" t="str">
        <f t="shared" si="114"/>
        <v>0.00%</v>
      </c>
      <c r="AG671" s="342">
        <v>0</v>
      </c>
      <c r="AH671" s="344" t="str">
        <f t="shared" si="115"/>
        <v>0.00%</v>
      </c>
      <c r="AI671" s="342">
        <v>0</v>
      </c>
      <c r="AJ671" s="344">
        <f t="shared" si="116"/>
        <v>0</v>
      </c>
      <c r="AK671" s="342">
        <v>0</v>
      </c>
      <c r="AL671" s="784" t="str">
        <f t="shared" si="117"/>
        <v>0.00%</v>
      </c>
      <c r="AM671" s="350">
        <v>0</v>
      </c>
      <c r="AN671" s="350">
        <v>0</v>
      </c>
      <c r="AO671" s="350">
        <v>0</v>
      </c>
      <c r="AP671" s="639">
        <f t="shared" si="118"/>
        <v>0</v>
      </c>
    </row>
    <row r="672" spans="1:42" x14ac:dyDescent="0.2">
      <c r="A672" s="638">
        <v>42794</v>
      </c>
      <c r="B672" s="341" t="s">
        <v>135</v>
      </c>
      <c r="C672" s="351" t="s">
        <v>185</v>
      </c>
      <c r="D672" s="342">
        <v>150039.91001297001</v>
      </c>
      <c r="E672" s="342">
        <v>6186</v>
      </c>
      <c r="F672" s="342">
        <v>143853.91001297001</v>
      </c>
      <c r="G672" s="342">
        <v>88099.550926327705</v>
      </c>
      <c r="H672" s="342">
        <v>45276.5305943489</v>
      </c>
      <c r="I672" s="342">
        <v>42823.020331978798</v>
      </c>
      <c r="J672" s="342">
        <v>7174.5300730466797</v>
      </c>
      <c r="K672" s="343">
        <f t="shared" si="123"/>
        <v>80925.020853281021</v>
      </c>
      <c r="L672" s="342">
        <v>57271.3793263435</v>
      </c>
      <c r="M672" s="342">
        <v>3955.3400132060101</v>
      </c>
      <c r="N672" s="354">
        <v>697</v>
      </c>
      <c r="O672" s="343">
        <f t="shared" si="108"/>
        <v>215.26529413625539</v>
      </c>
      <c r="P672" s="343">
        <f t="shared" si="109"/>
        <v>127.42208131050286</v>
      </c>
      <c r="Q672" s="343">
        <f t="shared" si="110"/>
        <v>126.39820792873415</v>
      </c>
      <c r="R672" s="344">
        <f t="shared" si="111"/>
        <v>0.58717411199934777</v>
      </c>
      <c r="S672" s="344">
        <f t="shared" si="112"/>
        <v>1.0791400823879307</v>
      </c>
      <c r="T672" s="343">
        <f t="shared" si="113"/>
        <v>118297.33000000002</v>
      </c>
      <c r="U672" s="342">
        <v>85116.62000000001</v>
      </c>
      <c r="V672" s="342">
        <v>2646.41</v>
      </c>
      <c r="W672" s="344">
        <f t="shared" si="119"/>
        <v>3.1091577649582414E-2</v>
      </c>
      <c r="X672" s="342">
        <v>3540.21</v>
      </c>
      <c r="Y672" s="344">
        <f t="shared" si="120"/>
        <v>4.1592464550401553E-2</v>
      </c>
      <c r="Z672" s="342">
        <v>2056.98</v>
      </c>
      <c r="AA672" s="344">
        <f t="shared" si="121"/>
        <v>2.4166608119542337E-2</v>
      </c>
      <c r="AB672" s="342">
        <v>5812.52</v>
      </c>
      <c r="AC672" s="344">
        <f t="shared" si="122"/>
        <v>6.8288895870160252E-2</v>
      </c>
      <c r="AD672" s="342">
        <v>33180.71</v>
      </c>
      <c r="AE672" s="342">
        <v>1813.55</v>
      </c>
      <c r="AF672" s="344">
        <f t="shared" si="114"/>
        <v>5.4656756892784993E-2</v>
      </c>
      <c r="AG672" s="342">
        <v>2504.65</v>
      </c>
      <c r="AH672" s="344">
        <f t="shared" si="115"/>
        <v>7.5485123736050264E-2</v>
      </c>
      <c r="AI672" s="342">
        <v>977.82</v>
      </c>
      <c r="AJ672" s="344">
        <f t="shared" si="116"/>
        <v>2.9469532146840741E-2</v>
      </c>
      <c r="AK672" s="342">
        <v>8295.48</v>
      </c>
      <c r="AL672" s="784">
        <f t="shared" si="117"/>
        <v>0.25000911674283038</v>
      </c>
      <c r="AM672" s="350">
        <f>IFERROR(T672/(D672+D625+D561)*90,"0.00")</f>
        <v>23.845837647661792</v>
      </c>
      <c r="AN672" s="350">
        <f>IFERROR(U672/(F672+F625+F561)*90,"0.00")</f>
        <v>17.937627179186631</v>
      </c>
      <c r="AO672" s="350">
        <f>IFERROR(AD672/(E672+E625+E561)*90,"0.00")</f>
        <v>153.77260041194643</v>
      </c>
      <c r="AP672" s="639">
        <f t="shared" si="118"/>
        <v>8.0782257890367984E-2</v>
      </c>
    </row>
    <row r="673" spans="1:42" x14ac:dyDescent="0.2">
      <c r="A673" s="638">
        <v>42794</v>
      </c>
      <c r="B673" s="341" t="s">
        <v>135</v>
      </c>
      <c r="C673" s="351" t="s">
        <v>179</v>
      </c>
      <c r="D673" s="342">
        <v>100240.5</v>
      </c>
      <c r="E673" s="342">
        <v>5473</v>
      </c>
      <c r="F673" s="342">
        <v>94767.5</v>
      </c>
      <c r="G673" s="342">
        <v>59175.830583155199</v>
      </c>
      <c r="H673" s="342">
        <v>29115.970373690099</v>
      </c>
      <c r="I673" s="342">
        <v>30059.860209465001</v>
      </c>
      <c r="J673" s="342">
        <v>4857.8900291919699</v>
      </c>
      <c r="K673" s="343">
        <f t="shared" si="123"/>
        <v>54317.940553963126</v>
      </c>
      <c r="L673" s="342">
        <v>37053.749569892898</v>
      </c>
      <c r="M673" s="342">
        <v>789.48000520467804</v>
      </c>
      <c r="N673" s="354">
        <v>469</v>
      </c>
      <c r="O673" s="343">
        <f t="shared" ref="O673:O736" si="127">IFERROR(SUM(E673:F673)/N673,"$0.00")</f>
        <v>213.7324093816631</v>
      </c>
      <c r="P673" s="343">
        <f t="shared" si="109"/>
        <v>133.04322052218001</v>
      </c>
      <c r="Q673" s="343">
        <f t="shared" si="110"/>
        <v>126.17447885534136</v>
      </c>
      <c r="R673" s="344">
        <f t="shared" si="111"/>
        <v>0.59033854163890942</v>
      </c>
      <c r="S673" s="344">
        <f t="shared" si="112"/>
        <v>1.0284405250141804</v>
      </c>
      <c r="T673" s="343">
        <f t="shared" si="113"/>
        <v>81253.23000000001</v>
      </c>
      <c r="U673" s="342">
        <v>57804.430000000008</v>
      </c>
      <c r="V673" s="342">
        <v>2064</v>
      </c>
      <c r="W673" s="344">
        <f t="shared" si="119"/>
        <v>3.5706605877784792E-2</v>
      </c>
      <c r="X673" s="342">
        <v>1712</v>
      </c>
      <c r="Y673" s="344">
        <f t="shared" si="120"/>
        <v>2.9617107200953278E-2</v>
      </c>
      <c r="Z673" s="342">
        <v>518.66</v>
      </c>
      <c r="AA673" s="344">
        <f t="shared" si="121"/>
        <v>8.9726687037654362E-3</v>
      </c>
      <c r="AB673" s="342">
        <v>7386.48</v>
      </c>
      <c r="AC673" s="344">
        <f t="shared" si="122"/>
        <v>0.12778397780239331</v>
      </c>
      <c r="AD673" s="342">
        <v>23448.800000000003</v>
      </c>
      <c r="AE673" s="342">
        <v>1928.56</v>
      </c>
      <c r="AF673" s="344">
        <f t="shared" si="114"/>
        <v>8.2245573334243108E-2</v>
      </c>
      <c r="AG673" s="342">
        <v>942.58</v>
      </c>
      <c r="AH673" s="344">
        <f t="shared" si="115"/>
        <v>4.0197366176520755E-2</v>
      </c>
      <c r="AI673" s="342">
        <v>2811.77</v>
      </c>
      <c r="AJ673" s="344">
        <f t="shared" si="116"/>
        <v>0.11991104022380675</v>
      </c>
      <c r="AK673" s="342">
        <v>9981.77</v>
      </c>
      <c r="AL673" s="784">
        <f t="shared" si="117"/>
        <v>0.42568361707208896</v>
      </c>
      <c r="AM673" s="350">
        <f>IFERROR(T673/(D673+D631+D562)*90,"0.00")</f>
        <v>25.609491114726591</v>
      </c>
      <c r="AN673" s="350">
        <f>IFERROR(U673/(F673+F631+F562)*90,"0.00")</f>
        <v>19.783991117737244</v>
      </c>
      <c r="AO673" s="350">
        <f>IFERROR(AD673/(E673+E631+E562)*90,"0.00")</f>
        <v>93.421513944223136</v>
      </c>
      <c r="AP673" s="639">
        <f t="shared" si="118"/>
        <v>7.7854207341307213E-2</v>
      </c>
    </row>
    <row r="674" spans="1:42" x14ac:dyDescent="0.2">
      <c r="A674" s="638">
        <v>42794</v>
      </c>
      <c r="B674" s="341" t="s">
        <v>135</v>
      </c>
      <c r="C674" s="351" t="s">
        <v>186</v>
      </c>
      <c r="D674" s="342">
        <v>107208</v>
      </c>
      <c r="E674" s="342">
        <v>5462</v>
      </c>
      <c r="F674" s="342">
        <v>101746</v>
      </c>
      <c r="G674" s="342">
        <v>58166.070476055102</v>
      </c>
      <c r="H674" s="342">
        <v>27093.880281925201</v>
      </c>
      <c r="I674" s="342">
        <v>31072.1901941299</v>
      </c>
      <c r="J674" s="342">
        <v>3783.4500198364299</v>
      </c>
      <c r="K674" s="343">
        <f t="shared" si="123"/>
        <v>54382.620456218669</v>
      </c>
      <c r="L674" s="342">
        <v>32986.479670524597</v>
      </c>
      <c r="M674" s="342">
        <v>1736.6999958604599</v>
      </c>
      <c r="N674" s="354">
        <v>498</v>
      </c>
      <c r="O674" s="343">
        <f t="shared" si="127"/>
        <v>215.27710843373495</v>
      </c>
      <c r="P674" s="343">
        <f t="shared" si="109"/>
        <v>145.55184805946777</v>
      </c>
      <c r="Q674" s="343">
        <f t="shared" si="110"/>
        <v>116.79933830533153</v>
      </c>
      <c r="R674" s="344">
        <f t="shared" si="111"/>
        <v>0.54255345194439875</v>
      </c>
      <c r="S674" s="344">
        <f t="shared" si="112"/>
        <v>0.84665080493146305</v>
      </c>
      <c r="T674" s="343">
        <f t="shared" si="113"/>
        <v>84163.860000000015</v>
      </c>
      <c r="U674" s="342">
        <v>62162.740000000005</v>
      </c>
      <c r="V674" s="342">
        <v>1841.97</v>
      </c>
      <c r="W674" s="344">
        <f t="shared" si="119"/>
        <v>2.9631415861012561E-2</v>
      </c>
      <c r="X674" s="342">
        <v>811.2</v>
      </c>
      <c r="Y674" s="344">
        <f t="shared" si="120"/>
        <v>1.3049617825726471E-2</v>
      </c>
      <c r="Z674" s="342">
        <v>786.06</v>
      </c>
      <c r="AA674" s="344">
        <f t="shared" si="121"/>
        <v>1.2645195498139238E-2</v>
      </c>
      <c r="AB674" s="342">
        <v>6211.83</v>
      </c>
      <c r="AC674" s="344">
        <f t="shared" si="122"/>
        <v>9.9928510229761416E-2</v>
      </c>
      <c r="AD674" s="342">
        <v>22001.120000000003</v>
      </c>
      <c r="AE674" s="342">
        <v>1387.68</v>
      </c>
      <c r="AF674" s="344">
        <f t="shared" si="114"/>
        <v>6.3073152639501986E-2</v>
      </c>
      <c r="AG674" s="342">
        <v>2214.5700000000002</v>
      </c>
      <c r="AH674" s="344">
        <f t="shared" si="115"/>
        <v>0.10065714836335604</v>
      </c>
      <c r="AI674" s="342">
        <v>1250.68</v>
      </c>
      <c r="AJ674" s="344">
        <f t="shared" si="116"/>
        <v>5.6846196920884023E-2</v>
      </c>
      <c r="AK674" s="342">
        <v>8336.67</v>
      </c>
      <c r="AL674" s="784">
        <f t="shared" si="117"/>
        <v>0.37892025496883791</v>
      </c>
      <c r="AM674" s="350">
        <f>IFERROR(T674/(D674+D642+D564)*90,"0.00")</f>
        <v>25.758051232177046</v>
      </c>
      <c r="AN674" s="350">
        <f>IFERROR(U674/(F674+F642+F564)*90,"0.00")</f>
        <v>20.304962418021933</v>
      </c>
      <c r="AO674" s="350">
        <f>IFERROR(AD674/(E674+E642+E564)*90,"0.00")</f>
        <v>106.79003343760112</v>
      </c>
      <c r="AP674" s="639">
        <f t="shared" si="118"/>
        <v>5.2196446130692124E-2</v>
      </c>
    </row>
    <row r="675" spans="1:42" x14ac:dyDescent="0.2">
      <c r="A675" s="638">
        <v>42794</v>
      </c>
      <c r="B675" s="341" t="s">
        <v>135</v>
      </c>
      <c r="C675" s="351" t="s">
        <v>187</v>
      </c>
      <c r="D675" s="342">
        <v>127381</v>
      </c>
      <c r="E675" s="342">
        <v>7401</v>
      </c>
      <c r="F675" s="342">
        <v>119980</v>
      </c>
      <c r="G675" s="342">
        <v>74303.710688278094</v>
      </c>
      <c r="H675" s="342">
        <v>34228.300417915001</v>
      </c>
      <c r="I675" s="342">
        <v>40075.4102703631</v>
      </c>
      <c r="J675" s="342">
        <v>6354.8000421524002</v>
      </c>
      <c r="K675" s="343">
        <f t="shared" si="123"/>
        <v>67948.910646125703</v>
      </c>
      <c r="L675" s="342">
        <v>43532.909461364201</v>
      </c>
      <c r="M675" s="342">
        <v>871.77000594139099</v>
      </c>
      <c r="N675" s="354">
        <v>580</v>
      </c>
      <c r="O675" s="343">
        <f t="shared" si="127"/>
        <v>219.62241379310345</v>
      </c>
      <c r="P675" s="343">
        <f t="shared" si="109"/>
        <v>143.06262160809379</v>
      </c>
      <c r="Q675" s="343">
        <f t="shared" si="110"/>
        <v>128.10984601427259</v>
      </c>
      <c r="R675" s="344">
        <f t="shared" si="111"/>
        <v>0.58331863220007774</v>
      </c>
      <c r="S675" s="344">
        <f t="shared" si="112"/>
        <v>0.96974988505285542</v>
      </c>
      <c r="T675" s="343">
        <f t="shared" si="113"/>
        <v>87309.11</v>
      </c>
      <c r="U675" s="342">
        <v>67112.89</v>
      </c>
      <c r="V675" s="342">
        <v>1153.9100000000001</v>
      </c>
      <c r="W675" s="344">
        <f t="shared" si="119"/>
        <v>1.7193567435406225E-2</v>
      </c>
      <c r="X675" s="342">
        <v>1813.25</v>
      </c>
      <c r="Y675" s="344">
        <f t="shared" si="120"/>
        <v>2.7017909674281648E-2</v>
      </c>
      <c r="Z675" s="342">
        <v>2121.27</v>
      </c>
      <c r="AA675" s="344">
        <f t="shared" si="121"/>
        <v>3.1607490006763231E-2</v>
      </c>
      <c r="AB675" s="342">
        <v>3422.4</v>
      </c>
      <c r="AC675" s="344">
        <f t="shared" si="122"/>
        <v>5.0994674793471119E-2</v>
      </c>
      <c r="AD675" s="342">
        <v>20196.22</v>
      </c>
      <c r="AE675" s="342">
        <v>1534.16</v>
      </c>
      <c r="AF675" s="344">
        <f t="shared" si="114"/>
        <v>7.5962729659312486E-2</v>
      </c>
      <c r="AG675" s="342">
        <v>1364.25</v>
      </c>
      <c r="AH675" s="344">
        <f t="shared" si="115"/>
        <v>6.7549769214239094E-2</v>
      </c>
      <c r="AI675" s="342">
        <v>1362.28</v>
      </c>
      <c r="AJ675" s="344">
        <f t="shared" si="116"/>
        <v>6.7452226208666768E-2</v>
      </c>
      <c r="AK675" s="342">
        <v>5286.43</v>
      </c>
      <c r="AL675" s="784">
        <f t="shared" si="117"/>
        <v>0.26175343702930548</v>
      </c>
      <c r="AM675" s="350">
        <f>IFERROR(T675/(D675+D643+D563)*90,"0.00")</f>
        <v>21.373597366431568</v>
      </c>
      <c r="AN675" s="350">
        <f>IFERROR(U675/(F675+F643+F563)*90,"0.00")</f>
        <v>17.461882862122096</v>
      </c>
      <c r="AO675" s="350">
        <f>IFERROR(AD675/(E675+E643+E563)*90,"0.00")</f>
        <v>83.624392712550616</v>
      </c>
      <c r="AP675" s="639">
        <f t="shared" si="118"/>
        <v>7.658570543205126E-2</v>
      </c>
    </row>
    <row r="676" spans="1:42" x14ac:dyDescent="0.2">
      <c r="A676" s="638">
        <v>42794</v>
      </c>
      <c r="B676" s="341" t="s">
        <v>135</v>
      </c>
      <c r="C676" s="351" t="s">
        <v>188</v>
      </c>
      <c r="D676" s="342">
        <v>132962.5</v>
      </c>
      <c r="E676" s="342">
        <v>7683</v>
      </c>
      <c r="F676" s="342">
        <v>125279.5</v>
      </c>
      <c r="G676" s="342">
        <v>78846.010718226404</v>
      </c>
      <c r="H676" s="342">
        <v>39478.920460104899</v>
      </c>
      <c r="I676" s="342">
        <v>39367.090258121498</v>
      </c>
      <c r="J676" s="342">
        <v>5266.3800344467199</v>
      </c>
      <c r="K676" s="343">
        <f t="shared" si="123"/>
        <v>73579.630683779687</v>
      </c>
      <c r="L676" s="342">
        <v>48047.389366149902</v>
      </c>
      <c r="M676" s="342">
        <v>1956.57000564039</v>
      </c>
      <c r="N676" s="354">
        <v>680</v>
      </c>
      <c r="O676" s="343">
        <f t="shared" si="127"/>
        <v>195.53308823529412</v>
      </c>
      <c r="P676" s="343">
        <f t="shared" si="109"/>
        <v>121.99785386501428</v>
      </c>
      <c r="Q676" s="343">
        <f t="shared" si="110"/>
        <v>115.95001576209765</v>
      </c>
      <c r="R676" s="344">
        <f t="shared" si="111"/>
        <v>0.59299434591126376</v>
      </c>
      <c r="S676" s="344">
        <f t="shared" si="112"/>
        <v>1.0148515643746434</v>
      </c>
      <c r="T676" s="343">
        <f t="shared" si="113"/>
        <v>106470.63</v>
      </c>
      <c r="U676" s="342">
        <v>78512.740000000005</v>
      </c>
      <c r="V676" s="342">
        <v>3204.72</v>
      </c>
      <c r="W676" s="344">
        <f t="shared" si="119"/>
        <v>4.0817834150228355E-2</v>
      </c>
      <c r="X676" s="342">
        <v>2250</v>
      </c>
      <c r="Y676" s="344">
        <f t="shared" si="120"/>
        <v>2.8657769426974525E-2</v>
      </c>
      <c r="Z676" s="342">
        <v>1689.99</v>
      </c>
      <c r="AA676" s="344">
        <f t="shared" si="121"/>
        <v>2.1525041668396746E-2</v>
      </c>
      <c r="AB676" s="342">
        <v>4971.4799999999996</v>
      </c>
      <c r="AC676" s="344">
        <f t="shared" si="122"/>
        <v>6.3320678911473471E-2</v>
      </c>
      <c r="AD676" s="342">
        <v>27957.89</v>
      </c>
      <c r="AE676" s="342">
        <v>1882.76</v>
      </c>
      <c r="AF676" s="344">
        <f t="shared" si="114"/>
        <v>6.7342707192853249E-2</v>
      </c>
      <c r="AG676" s="342">
        <v>1747.4</v>
      </c>
      <c r="AH676" s="344">
        <f t="shared" si="115"/>
        <v>6.2501140107497383E-2</v>
      </c>
      <c r="AI676" s="342">
        <v>2083.4699999999998</v>
      </c>
      <c r="AJ676" s="344">
        <f t="shared" si="116"/>
        <v>7.4521718198333267E-2</v>
      </c>
      <c r="AK676" s="342">
        <v>10704.63</v>
      </c>
      <c r="AL676" s="784">
        <f t="shared" si="117"/>
        <v>0.38288404453984187</v>
      </c>
      <c r="AM676" s="350">
        <f>IFERROR(T676/(D676+D644+D565)*90,"0.00")</f>
        <v>22.768080966003595</v>
      </c>
      <c r="AN676" s="350">
        <f>IFERROR(U676/(F676+F644+F565)*90,"0.00")</f>
        <v>17.899083786542782</v>
      </c>
      <c r="AO676" s="350">
        <f>IFERROR(AD676/(E676+E644+E565)*90,"0.00")</f>
        <v>96.439772335288026</v>
      </c>
      <c r="AP676" s="639">
        <f t="shared" si="118"/>
        <v>6.348207182246296E-2</v>
      </c>
    </row>
    <row r="677" spans="1:42" x14ac:dyDescent="0.2">
      <c r="A677" s="638">
        <v>42794</v>
      </c>
      <c r="B677" s="341" t="s">
        <v>135</v>
      </c>
      <c r="C677" s="351" t="s">
        <v>189</v>
      </c>
      <c r="D677" s="342">
        <v>160780.89000225099</v>
      </c>
      <c r="E677" s="342">
        <v>6762</v>
      </c>
      <c r="F677" s="342">
        <v>154018.89000225099</v>
      </c>
      <c r="G677" s="342">
        <v>97226.660110950499</v>
      </c>
      <c r="H677" s="342">
        <v>43482.1800532341</v>
      </c>
      <c r="I677" s="342">
        <v>53744.480057716399</v>
      </c>
      <c r="J677" s="342">
        <v>7831.5399675369299</v>
      </c>
      <c r="K677" s="343">
        <f t="shared" si="123"/>
        <v>89395.120143413573</v>
      </c>
      <c r="L677" s="342">
        <v>62168.760026931799</v>
      </c>
      <c r="M677" s="342">
        <v>2555.6899995803801</v>
      </c>
      <c r="N677" s="354">
        <v>688</v>
      </c>
      <c r="O677" s="343">
        <f t="shared" si="127"/>
        <v>233.69315407303924</v>
      </c>
      <c r="P677" s="343">
        <f t="shared" si="109"/>
        <v>139.61691856938782</v>
      </c>
      <c r="Q677" s="343">
        <f t="shared" si="110"/>
        <v>141.31781992870711</v>
      </c>
      <c r="R677" s="344">
        <f t="shared" si="111"/>
        <v>0.6047152749906366</v>
      </c>
      <c r="S677" s="344">
        <f t="shared" si="112"/>
        <v>1.1020319671874013</v>
      </c>
      <c r="T677" s="343">
        <f t="shared" si="113"/>
        <v>102520.87000000001</v>
      </c>
      <c r="U677" s="342">
        <v>79499.460000000006</v>
      </c>
      <c r="V677" s="342">
        <v>1505.44</v>
      </c>
      <c r="W677" s="344">
        <f t="shared" si="119"/>
        <v>1.8936480826410643E-2</v>
      </c>
      <c r="X677" s="342">
        <v>2270.0300000000002</v>
      </c>
      <c r="Y677" s="344">
        <f t="shared" si="120"/>
        <v>2.8554030429892227E-2</v>
      </c>
      <c r="Z677" s="342">
        <v>1466.61</v>
      </c>
      <c r="AA677" s="344">
        <f t="shared" si="121"/>
        <v>1.8448049835810203E-2</v>
      </c>
      <c r="AB677" s="342">
        <v>1739.88</v>
      </c>
      <c r="AC677" s="344">
        <f t="shared" si="122"/>
        <v>2.1885431674630241E-2</v>
      </c>
      <c r="AD677" s="342">
        <v>23021.410000000003</v>
      </c>
      <c r="AE677" s="342">
        <v>1638.92</v>
      </c>
      <c r="AF677" s="344">
        <f t="shared" si="114"/>
        <v>7.1191121655884662E-2</v>
      </c>
      <c r="AG677" s="342">
        <v>1703.6</v>
      </c>
      <c r="AH677" s="344">
        <f t="shared" si="115"/>
        <v>7.400068023635388E-2</v>
      </c>
      <c r="AI677" s="342">
        <v>1986.38</v>
      </c>
      <c r="AJ677" s="344">
        <f t="shared" si="116"/>
        <v>8.6284028649852448E-2</v>
      </c>
      <c r="AK677" s="342">
        <v>7285.65</v>
      </c>
      <c r="AL677" s="784">
        <f t="shared" si="117"/>
        <v>0.31647279640995052</v>
      </c>
      <c r="AM677" s="350">
        <f>IFERROR(T677/(D677+D609+D566)*90,"0.00")</f>
        <v>20.401892060714822</v>
      </c>
      <c r="AN677" s="350">
        <f>IFERROR(U677/(F677+F609+F566)*90,"0.00")</f>
        <v>16.603318908485285</v>
      </c>
      <c r="AO677" s="350">
        <f>IFERROR(AD677/(E677+E609+E566)*90,"0.00")</f>
        <v>97.177754326720148</v>
      </c>
      <c r="AP677" s="639">
        <f t="shared" si="118"/>
        <v>8.1530608145741812E-2</v>
      </c>
    </row>
    <row r="678" spans="1:42" x14ac:dyDescent="0.2">
      <c r="A678" s="638">
        <v>42794</v>
      </c>
      <c r="B678" s="341" t="s">
        <v>136</v>
      </c>
      <c r="C678" s="351" t="s">
        <v>190</v>
      </c>
      <c r="D678" s="342">
        <v>171060.420003204</v>
      </c>
      <c r="E678" s="342">
        <v>8632</v>
      </c>
      <c r="F678" s="342">
        <v>162428.420003204</v>
      </c>
      <c r="G678" s="342">
        <v>106543.150208987</v>
      </c>
      <c r="H678" s="342">
        <v>46548.350038528399</v>
      </c>
      <c r="I678" s="342">
        <v>59994.800170458897</v>
      </c>
      <c r="J678" s="342">
        <v>9309.7000069618207</v>
      </c>
      <c r="K678" s="343">
        <f t="shared" si="123"/>
        <v>97233.450202025473</v>
      </c>
      <c r="L678" s="342">
        <v>66575.519950866699</v>
      </c>
      <c r="M678" s="342">
        <v>3941.63000199199</v>
      </c>
      <c r="N678" s="354">
        <v>737</v>
      </c>
      <c r="O678" s="343">
        <f t="shared" si="127"/>
        <v>232.10369064206785</v>
      </c>
      <c r="P678" s="343">
        <f t="shared" si="109"/>
        <v>136.42234742244955</v>
      </c>
      <c r="Q678" s="343">
        <f t="shared" si="110"/>
        <v>144.56329743417544</v>
      </c>
      <c r="R678" s="344">
        <f t="shared" si="111"/>
        <v>0.62283928805384503</v>
      </c>
      <c r="S678" s="344">
        <f t="shared" si="112"/>
        <v>1.1678064352663584</v>
      </c>
      <c r="T678" s="343">
        <f t="shared" si="113"/>
        <v>119165.39</v>
      </c>
      <c r="U678" s="342">
        <v>89201.48</v>
      </c>
      <c r="V678" s="342">
        <v>4114.54</v>
      </c>
      <c r="W678" s="344">
        <f t="shared" si="119"/>
        <v>4.6126364719509143E-2</v>
      </c>
      <c r="X678" s="342">
        <v>3398.05</v>
      </c>
      <c r="Y678" s="344">
        <f t="shared" si="120"/>
        <v>3.8094098887148514E-2</v>
      </c>
      <c r="Z678" s="342">
        <v>1596.02</v>
      </c>
      <c r="AA678" s="344">
        <f t="shared" si="121"/>
        <v>1.7892304029036288E-2</v>
      </c>
      <c r="AB678" s="342">
        <v>3381.95</v>
      </c>
      <c r="AC678" s="344">
        <f t="shared" si="122"/>
        <v>3.7913608608287665E-2</v>
      </c>
      <c r="AD678" s="342">
        <v>29963.91</v>
      </c>
      <c r="AE678" s="342">
        <v>1024.5899999999999</v>
      </c>
      <c r="AF678" s="344">
        <f t="shared" si="114"/>
        <v>3.4194135545060705E-2</v>
      </c>
      <c r="AG678" s="342">
        <v>1916.46</v>
      </c>
      <c r="AH678" s="344">
        <f t="shared" si="115"/>
        <v>6.395894260795737E-2</v>
      </c>
      <c r="AI678" s="342">
        <v>2077.96</v>
      </c>
      <c r="AJ678" s="344">
        <f t="shared" si="116"/>
        <v>6.9348759891482786E-2</v>
      </c>
      <c r="AK678" s="342">
        <v>12373.39</v>
      </c>
      <c r="AL678" s="784">
        <f t="shared" si="117"/>
        <v>0.41294310388730976</v>
      </c>
      <c r="AM678" s="350">
        <f>IFERROR(T678/(D678+D612+D568)*90,"0.00")</f>
        <v>19.115344328185909</v>
      </c>
      <c r="AN678" s="350">
        <f>IFERROR(U678/(F678+F612+F568)*90,"0.00")</f>
        <v>15.205616756877372</v>
      </c>
      <c r="AO678" s="350">
        <f>IFERROR(AD678/(E678+E612+E568)*90,"0.00")</f>
        <v>81.497464038240437</v>
      </c>
      <c r="AP678" s="639">
        <f t="shared" si="118"/>
        <v>9.2593964790484221E-2</v>
      </c>
    </row>
    <row r="679" spans="1:42" x14ac:dyDescent="0.2">
      <c r="A679" s="638">
        <v>42794</v>
      </c>
      <c r="B679" s="341" t="s">
        <v>136</v>
      </c>
      <c r="C679" s="351" t="s">
        <v>191</v>
      </c>
      <c r="D679" s="342">
        <v>254383.97000411901</v>
      </c>
      <c r="E679" s="342">
        <v>6831</v>
      </c>
      <c r="F679" s="342">
        <v>247552.97000411901</v>
      </c>
      <c r="G679" s="342">
        <v>147938.24024714899</v>
      </c>
      <c r="H679" s="342">
        <v>74748.5600188971</v>
      </c>
      <c r="I679" s="342">
        <v>73189.680228251993</v>
      </c>
      <c r="J679" s="342">
        <v>8975.1200360059702</v>
      </c>
      <c r="K679" s="343">
        <f t="shared" si="123"/>
        <v>138963.1202111431</v>
      </c>
      <c r="L679" s="342">
        <v>104646.969971165</v>
      </c>
      <c r="M679" s="342">
        <v>3012.9299917221101</v>
      </c>
      <c r="N679" s="354">
        <v>1024</v>
      </c>
      <c r="O679" s="343">
        <f t="shared" si="127"/>
        <v>248.42184570714747</v>
      </c>
      <c r="P679" s="343">
        <f t="shared" si="109"/>
        <v>143.28522464964053</v>
      </c>
      <c r="Q679" s="343">
        <f t="shared" si="110"/>
        <v>144.47093774135652</v>
      </c>
      <c r="R679" s="344">
        <f t="shared" si="111"/>
        <v>0.58155488431426572</v>
      </c>
      <c r="S679" s="344">
        <f t="shared" si="112"/>
        <v>1.0739700029766948</v>
      </c>
      <c r="T679" s="343">
        <f t="shared" si="113"/>
        <v>182310.32</v>
      </c>
      <c r="U679" s="342">
        <v>138075.67000000001</v>
      </c>
      <c r="V679" s="342">
        <v>3300.98</v>
      </c>
      <c r="W679" s="344">
        <f t="shared" si="119"/>
        <v>2.39070359028495E-2</v>
      </c>
      <c r="X679" s="342">
        <v>3852.93</v>
      </c>
      <c r="Y679" s="344">
        <f t="shared" si="120"/>
        <v>2.7904481651256877E-2</v>
      </c>
      <c r="Z679" s="342">
        <v>1570.79</v>
      </c>
      <c r="AA679" s="344">
        <f t="shared" si="121"/>
        <v>1.1376298228355508E-2</v>
      </c>
      <c r="AB679" s="342">
        <v>4584.41</v>
      </c>
      <c r="AC679" s="344">
        <f t="shared" si="122"/>
        <v>3.3202156469709684E-2</v>
      </c>
      <c r="AD679" s="342">
        <v>44234.649999999994</v>
      </c>
      <c r="AE679" s="342">
        <v>3936.34</v>
      </c>
      <c r="AF679" s="344">
        <f t="shared" si="114"/>
        <v>8.8987705339592396E-2</v>
      </c>
      <c r="AG679" s="342">
        <v>2523.5300000000002</v>
      </c>
      <c r="AH679" s="344">
        <f t="shared" si="115"/>
        <v>5.7048716334366846E-2</v>
      </c>
      <c r="AI679" s="342">
        <v>3050.67</v>
      </c>
      <c r="AJ679" s="344">
        <f t="shared" si="116"/>
        <v>6.8965618581813132E-2</v>
      </c>
      <c r="AK679" s="342">
        <v>15800.16</v>
      </c>
      <c r="AL679" s="784">
        <f t="shared" si="117"/>
        <v>0.35718966918467765</v>
      </c>
      <c r="AM679" s="350">
        <f>IFERROR(T679/(D679+D613+D567)*90,"0.00")</f>
        <v>22.56715266488807</v>
      </c>
      <c r="AN679" s="350">
        <f>IFERROR(U679/(F679+F613+F567)*90,"0.00")</f>
        <v>17.717927598105049</v>
      </c>
      <c r="AO679" s="350">
        <f>IFERROR(AD679/(E679+E613+E567)*90,"0.00")</f>
        <v>154.89528052291647</v>
      </c>
      <c r="AP679" s="639">
        <f t="shared" si="118"/>
        <v>6.1170059101303638E-2</v>
      </c>
    </row>
    <row r="680" spans="1:42" x14ac:dyDescent="0.2">
      <c r="A680" s="638">
        <v>42794</v>
      </c>
      <c r="B680" s="341" t="s">
        <v>136</v>
      </c>
      <c r="C680" s="351" t="s">
        <v>192</v>
      </c>
      <c r="D680" s="342">
        <v>280274.61000377499</v>
      </c>
      <c r="E680" s="342">
        <v>15883</v>
      </c>
      <c r="F680" s="342">
        <v>264391.61000377499</v>
      </c>
      <c r="G680" s="342">
        <v>186548.220303237</v>
      </c>
      <c r="H680" s="342">
        <v>94419.320018649101</v>
      </c>
      <c r="I680" s="342">
        <v>92128.900284588293</v>
      </c>
      <c r="J680" s="342">
        <v>9548.3200160265005</v>
      </c>
      <c r="K680" s="343">
        <f t="shared" si="123"/>
        <v>176999.90028721088</v>
      </c>
      <c r="L680" s="342">
        <v>94067.500273346901</v>
      </c>
      <c r="M680" s="342">
        <v>5739.7200046181697</v>
      </c>
      <c r="N680" s="354">
        <v>1411</v>
      </c>
      <c r="O680" s="343">
        <f t="shared" si="127"/>
        <v>198.63544295093905</v>
      </c>
      <c r="P680" s="343">
        <f t="shared" si="109"/>
        <v>127.90034707711546</v>
      </c>
      <c r="Q680" s="343">
        <f t="shared" si="110"/>
        <v>132.20993643035959</v>
      </c>
      <c r="R680" s="344">
        <f t="shared" si="111"/>
        <v>0.66559086568963488</v>
      </c>
      <c r="S680" s="344">
        <f t="shared" si="112"/>
        <v>1.0914418187507802</v>
      </c>
      <c r="T680" s="343">
        <f t="shared" si="113"/>
        <v>202928.73999999996</v>
      </c>
      <c r="U680" s="342">
        <v>143245.32999999996</v>
      </c>
      <c r="V680" s="342">
        <v>3829.97</v>
      </c>
      <c r="W680" s="344">
        <f t="shared" si="119"/>
        <v>2.6737136910501731E-2</v>
      </c>
      <c r="X680" s="342">
        <v>1538.43</v>
      </c>
      <c r="Y680" s="344">
        <f t="shared" si="120"/>
        <v>1.0739826561885128E-2</v>
      </c>
      <c r="Z680" s="342">
        <v>2802.68</v>
      </c>
      <c r="AA680" s="344">
        <f t="shared" si="121"/>
        <v>1.9565594215183144E-2</v>
      </c>
      <c r="AB680" s="342">
        <v>4011.55</v>
      </c>
      <c r="AC680" s="344">
        <f t="shared" si="122"/>
        <v>2.8004752406239012E-2</v>
      </c>
      <c r="AD680" s="342">
        <v>59683.41</v>
      </c>
      <c r="AE680" s="342">
        <v>3624.11</v>
      </c>
      <c r="AF680" s="344">
        <f t="shared" si="114"/>
        <v>6.0722234202100718E-2</v>
      </c>
      <c r="AG680" s="342">
        <v>5385.01</v>
      </c>
      <c r="AH680" s="344">
        <f t="shared" si="115"/>
        <v>9.0226245450787751E-2</v>
      </c>
      <c r="AI680" s="342">
        <v>4802</v>
      </c>
      <c r="AJ680" s="344">
        <f t="shared" si="116"/>
        <v>8.045786928059237E-2</v>
      </c>
      <c r="AK680" s="342">
        <v>25233.51</v>
      </c>
      <c r="AL680" s="784">
        <f t="shared" si="117"/>
        <v>0.42278934799469398</v>
      </c>
      <c r="AM680" s="350">
        <f>IFERROR(T680/(D680+D616+D570)*90,"0.00")</f>
        <v>23.599203118328816</v>
      </c>
      <c r="AN680" s="350">
        <f>IFERROR(U680/(F680+F616+F570)*90,"0.00")</f>
        <v>17.531349535990387</v>
      </c>
      <c r="AO680" s="350">
        <f>IFERROR(AD680/(E680+E616+E570)*90,"0.00")</f>
        <v>139.3965562879535</v>
      </c>
      <c r="AP680" s="639">
        <f t="shared" si="118"/>
        <v>5.2908838713374089E-2</v>
      </c>
    </row>
    <row r="681" spans="1:42" x14ac:dyDescent="0.2">
      <c r="A681" s="638">
        <v>42794</v>
      </c>
      <c r="B681" s="341" t="s">
        <v>136</v>
      </c>
      <c r="C681" s="351" t="s">
        <v>193</v>
      </c>
      <c r="D681" s="342">
        <v>117891.830001831</v>
      </c>
      <c r="E681" s="342">
        <v>5148</v>
      </c>
      <c r="F681" s="342">
        <v>112743.830001831</v>
      </c>
      <c r="G681" s="342">
        <v>62540.110080033497</v>
      </c>
      <c r="H681" s="342">
        <v>26536.899974376</v>
      </c>
      <c r="I681" s="342">
        <v>36003.210105657599</v>
      </c>
      <c r="J681" s="342">
        <v>4449.0799918174698</v>
      </c>
      <c r="K681" s="343">
        <f t="shared" si="123"/>
        <v>58091.030088216132</v>
      </c>
      <c r="L681" s="342">
        <v>39787.040016174302</v>
      </c>
      <c r="M681" s="342">
        <v>153.299997329712</v>
      </c>
      <c r="N681" s="354">
        <v>475</v>
      </c>
      <c r="O681" s="343">
        <f t="shared" si="127"/>
        <v>248.1933263196442</v>
      </c>
      <c r="P681" s="343">
        <f t="shared" si="109"/>
        <v>164.10839997542521</v>
      </c>
      <c r="Q681" s="343">
        <f t="shared" si="110"/>
        <v>131.66338964217599</v>
      </c>
      <c r="R681" s="344">
        <f t="shared" si="111"/>
        <v>0.53048722781775703</v>
      </c>
      <c r="S681" s="344">
        <f t="shared" si="112"/>
        <v>0.85085795258962948</v>
      </c>
      <c r="T681" s="343">
        <f t="shared" si="113"/>
        <v>80664</v>
      </c>
      <c r="U681" s="342">
        <v>64511.71</v>
      </c>
      <c r="V681" s="342">
        <v>4353.54</v>
      </c>
      <c r="W681" s="344">
        <f t="shared" si="119"/>
        <v>6.7484492350303529E-2</v>
      </c>
      <c r="X681" s="342">
        <v>533.1</v>
      </c>
      <c r="Y681" s="344">
        <f t="shared" si="120"/>
        <v>8.2636160163790419E-3</v>
      </c>
      <c r="Z681" s="342">
        <v>571.77</v>
      </c>
      <c r="AA681" s="344">
        <f t="shared" si="121"/>
        <v>8.8630420740668635E-3</v>
      </c>
      <c r="AB681" s="342">
        <v>-191.19</v>
      </c>
      <c r="AC681" s="344">
        <f t="shared" si="122"/>
        <v>-2.9636479950694221E-3</v>
      </c>
      <c r="AD681" s="342">
        <v>16152.289999999999</v>
      </c>
      <c r="AE681" s="342">
        <v>1205.56</v>
      </c>
      <c r="AF681" s="344">
        <f t="shared" si="114"/>
        <v>7.4637094802037354E-2</v>
      </c>
      <c r="AG681" s="342">
        <v>981.07</v>
      </c>
      <c r="AH681" s="344">
        <f t="shared" si="115"/>
        <v>6.07387559287259E-2</v>
      </c>
      <c r="AI681" s="342">
        <v>611.91999999999996</v>
      </c>
      <c r="AJ681" s="344">
        <f t="shared" si="116"/>
        <v>3.7884411436396946E-2</v>
      </c>
      <c r="AK681" s="342">
        <v>1505.51</v>
      </c>
      <c r="AL681" s="784">
        <f t="shared" si="117"/>
        <v>9.3207217057147934E-2</v>
      </c>
      <c r="AM681" s="350">
        <f>IFERROR(T681/(D681+D620+D569)*90,"0.00")</f>
        <v>22.446294074459786</v>
      </c>
      <c r="AN681" s="350">
        <f>IFERROR(U681/(F681+F620+F569)*90,"0.00")</f>
        <v>18.792068629344996</v>
      </c>
      <c r="AO681" s="350">
        <f>IFERROR(AD681/(E681+E620+E569)*90,"0.00")</f>
        <v>100.49817490494296</v>
      </c>
      <c r="AP681" s="639">
        <f t="shared" si="118"/>
        <v>5.7074983332373853E-2</v>
      </c>
    </row>
    <row r="682" spans="1:42" x14ac:dyDescent="0.2">
      <c r="A682" s="638">
        <v>42794</v>
      </c>
      <c r="B682" s="341" t="s">
        <v>136</v>
      </c>
      <c r="C682" s="351" t="s">
        <v>304</v>
      </c>
      <c r="D682" s="342">
        <v>62961.359998703003</v>
      </c>
      <c r="E682" s="342">
        <v>3016</v>
      </c>
      <c r="F682" s="342">
        <v>59945.359998703003</v>
      </c>
      <c r="G682" s="342">
        <v>30065.890049934402</v>
      </c>
      <c r="H682" s="342">
        <v>14055.910015106199</v>
      </c>
      <c r="I682" s="342">
        <v>16009.980034828201</v>
      </c>
      <c r="J682" s="342">
        <v>860.01000058651005</v>
      </c>
      <c r="K682" s="343">
        <f t="shared" si="123"/>
        <v>29205.880049347892</v>
      </c>
      <c r="L682" s="342">
        <v>21096.959949493401</v>
      </c>
      <c r="M682" s="342">
        <v>0</v>
      </c>
      <c r="N682" s="354">
        <v>235</v>
      </c>
      <c r="O682" s="343">
        <f t="shared" si="127"/>
        <v>267.92068084554467</v>
      </c>
      <c r="P682" s="343">
        <f t="shared" si="109"/>
        <v>178.14638318812595</v>
      </c>
      <c r="Q682" s="343">
        <f t="shared" si="110"/>
        <v>127.93995765929533</v>
      </c>
      <c r="R682" s="344">
        <f t="shared" si="111"/>
        <v>0.47752923460601482</v>
      </c>
      <c r="S682" s="344">
        <f t="shared" si="112"/>
        <v>0.73323588070160794</v>
      </c>
      <c r="T682" s="343">
        <f t="shared" si="113"/>
        <v>47959.74</v>
      </c>
      <c r="U682" s="342">
        <v>41762.29</v>
      </c>
      <c r="V682" s="342">
        <v>207.48</v>
      </c>
      <c r="W682" s="344">
        <f t="shared" si="119"/>
        <v>4.9681183670723036E-3</v>
      </c>
      <c r="X682" s="342">
        <v>0</v>
      </c>
      <c r="Y682" s="344">
        <f t="shared" si="120"/>
        <v>0</v>
      </c>
      <c r="Z682" s="342">
        <v>0</v>
      </c>
      <c r="AA682" s="344">
        <f t="shared" si="121"/>
        <v>0</v>
      </c>
      <c r="AB682" s="342">
        <v>0</v>
      </c>
      <c r="AC682" s="344">
        <f t="shared" si="122"/>
        <v>0</v>
      </c>
      <c r="AD682" s="342">
        <v>6197.45</v>
      </c>
      <c r="AE682" s="342">
        <v>594</v>
      </c>
      <c r="AF682" s="344">
        <f t="shared" si="114"/>
        <v>9.5845872092554199E-2</v>
      </c>
      <c r="AG682" s="342">
        <v>0</v>
      </c>
      <c r="AH682" s="344">
        <f t="shared" si="115"/>
        <v>0</v>
      </c>
      <c r="AI682" s="342">
        <v>0</v>
      </c>
      <c r="AJ682" s="344">
        <f t="shared" si="116"/>
        <v>0</v>
      </c>
      <c r="AK682" s="342">
        <v>0</v>
      </c>
      <c r="AL682" s="784">
        <f t="shared" si="117"/>
        <v>0</v>
      </c>
      <c r="AM682" s="350">
        <f>IFERROR(T682/(D682+D626+D571)*90,"0.00")</f>
        <v>25.784560004513942</v>
      </c>
      <c r="AN682" s="350">
        <f>IFERROR(U682/(F682+F626+F571)*90,"0.00")</f>
        <v>23.821725231414447</v>
      </c>
      <c r="AO682" s="350">
        <f>IFERROR(AD682/(E682+E626+E571)*90,"0.00")</f>
        <v>57.97427502338634</v>
      </c>
      <c r="AP682" s="639">
        <f t="shared" si="118"/>
        <v>2.0542752304478492E-2</v>
      </c>
    </row>
    <row r="683" spans="1:42" x14ac:dyDescent="0.2">
      <c r="A683" s="638">
        <v>42794</v>
      </c>
      <c r="B683" s="341" t="s">
        <v>136</v>
      </c>
      <c r="C683" s="351" t="s">
        <v>310</v>
      </c>
      <c r="D683" s="342">
        <v>43206.5</v>
      </c>
      <c r="E683" s="342">
        <v>2829</v>
      </c>
      <c r="F683" s="342">
        <v>40377.5</v>
      </c>
      <c r="G683" s="342">
        <v>20736.110021591201</v>
      </c>
      <c r="H683" s="342">
        <v>8706.2000083923303</v>
      </c>
      <c r="I683" s="342">
        <v>12029.9100131989</v>
      </c>
      <c r="J683" s="342">
        <v>811.25999832153298</v>
      </c>
      <c r="K683" s="343">
        <f t="shared" si="123"/>
        <v>19924.850023269697</v>
      </c>
      <c r="L683" s="342">
        <v>14795.2199859619</v>
      </c>
      <c r="M683" s="342">
        <v>0</v>
      </c>
      <c r="N683" s="354">
        <v>166</v>
      </c>
      <c r="O683" s="343">
        <f t="shared" si="127"/>
        <v>260.28012048192772</v>
      </c>
      <c r="P683" s="343">
        <f t="shared" si="109"/>
        <v>171.15228924119339</v>
      </c>
      <c r="Q683" s="343">
        <f t="shared" si="110"/>
        <v>124.91632543127247</v>
      </c>
      <c r="R683" s="344">
        <f t="shared" si="111"/>
        <v>0.47993033505586497</v>
      </c>
      <c r="S683" s="344">
        <f t="shared" si="112"/>
        <v>0.7513077892618647</v>
      </c>
      <c r="T683" s="343">
        <f t="shared" si="113"/>
        <v>20625.879999999997</v>
      </c>
      <c r="U683" s="342">
        <v>19249.509999999998</v>
      </c>
      <c r="V683" s="342">
        <v>0</v>
      </c>
      <c r="W683" s="344">
        <f t="shared" si="119"/>
        <v>0</v>
      </c>
      <c r="X683" s="342">
        <v>0</v>
      </c>
      <c r="Y683" s="344">
        <f t="shared" si="120"/>
        <v>0</v>
      </c>
      <c r="Z683" s="342">
        <v>0</v>
      </c>
      <c r="AA683" s="344">
        <f t="shared" si="121"/>
        <v>0</v>
      </c>
      <c r="AB683" s="342">
        <v>0</v>
      </c>
      <c r="AC683" s="344">
        <f t="shared" si="122"/>
        <v>0</v>
      </c>
      <c r="AD683" s="342">
        <v>1376.3700000000001</v>
      </c>
      <c r="AE683" s="342">
        <v>0</v>
      </c>
      <c r="AF683" s="344">
        <f t="shared" si="114"/>
        <v>0</v>
      </c>
      <c r="AG683" s="342">
        <v>0</v>
      </c>
      <c r="AH683" s="344">
        <f t="shared" si="115"/>
        <v>0</v>
      </c>
      <c r="AI683" s="342">
        <v>0</v>
      </c>
      <c r="AJ683" s="344">
        <f t="shared" si="116"/>
        <v>0</v>
      </c>
      <c r="AK683" s="342">
        <v>0</v>
      </c>
      <c r="AL683" s="784">
        <f t="shared" si="117"/>
        <v>0</v>
      </c>
      <c r="AM683" s="350">
        <f>IFERROR(T683/(D683+D627+D595)*90,"0.00")</f>
        <v>20.319644889369481</v>
      </c>
      <c r="AN683" s="350">
        <f>IFERROR(U683/(F683+F627+F595)*90,"0.00")</f>
        <v>20.097541390139501</v>
      </c>
      <c r="AO683" s="350">
        <f>IFERROR(AD683/(E683+E627+E595)*90,"0.00")</f>
        <v>24.034400465657743</v>
      </c>
      <c r="AP683" s="639">
        <f t="shared" si="118"/>
        <v>2.8554151658098013E-2</v>
      </c>
    </row>
    <row r="684" spans="1:42" x14ac:dyDescent="0.2">
      <c r="A684" s="638">
        <v>42794</v>
      </c>
      <c r="B684" s="341" t="s">
        <v>136</v>
      </c>
      <c r="C684" s="351" t="s">
        <v>194</v>
      </c>
      <c r="D684" s="342">
        <v>143170.24000453899</v>
      </c>
      <c r="E684" s="342">
        <v>7865</v>
      </c>
      <c r="F684" s="342">
        <v>135305.24000453899</v>
      </c>
      <c r="G684" s="342">
        <v>83161.130102582305</v>
      </c>
      <c r="H684" s="342">
        <v>37732.150017388201</v>
      </c>
      <c r="I684" s="342">
        <v>45428.980085194104</v>
      </c>
      <c r="J684" s="342">
        <v>6967.3599891662598</v>
      </c>
      <c r="K684" s="343">
        <f t="shared" si="123"/>
        <v>76193.770113416045</v>
      </c>
      <c r="L684" s="342">
        <v>52962.599973373101</v>
      </c>
      <c r="M684" s="342">
        <v>1073.0800002813301</v>
      </c>
      <c r="N684" s="354">
        <v>582</v>
      </c>
      <c r="O684" s="343">
        <f t="shared" si="127"/>
        <v>245.99697595281614</v>
      </c>
      <c r="P684" s="343">
        <f t="shared" si="109"/>
        <v>153.15216500151988</v>
      </c>
      <c r="Q684" s="343">
        <f t="shared" si="110"/>
        <v>142.88853969515861</v>
      </c>
      <c r="R684" s="344">
        <f t="shared" si="111"/>
        <v>0.58085486271410736</v>
      </c>
      <c r="S684" s="344">
        <f t="shared" si="112"/>
        <v>1.01209643337438</v>
      </c>
      <c r="T684" s="343">
        <f t="shared" si="113"/>
        <v>93412.62</v>
      </c>
      <c r="U684" s="342">
        <v>68380.22</v>
      </c>
      <c r="V684" s="342">
        <v>479.66</v>
      </c>
      <c r="W684" s="344">
        <f t="shared" si="119"/>
        <v>7.0146015909279035E-3</v>
      </c>
      <c r="X684" s="342">
        <v>1875.11</v>
      </c>
      <c r="Y684" s="344">
        <f t="shared" si="120"/>
        <v>2.7421818765719089E-2</v>
      </c>
      <c r="Z684" s="342">
        <v>466.27</v>
      </c>
      <c r="AA684" s="344">
        <f t="shared" si="121"/>
        <v>6.8187847304381289E-3</v>
      </c>
      <c r="AB684" s="342">
        <v>2480.36</v>
      </c>
      <c r="AC684" s="344">
        <f t="shared" si="122"/>
        <v>3.6273062590322175E-2</v>
      </c>
      <c r="AD684" s="342">
        <v>25032.399999999998</v>
      </c>
      <c r="AE684" s="342">
        <v>2032.27</v>
      </c>
      <c r="AF684" s="344">
        <f t="shared" si="114"/>
        <v>8.1185583483805002E-2</v>
      </c>
      <c r="AG684" s="342">
        <v>1896.3</v>
      </c>
      <c r="AH684" s="344">
        <f t="shared" si="115"/>
        <v>7.5753823045333249E-2</v>
      </c>
      <c r="AI684" s="342">
        <v>1187.1600000000001</v>
      </c>
      <c r="AJ684" s="344">
        <f t="shared" si="116"/>
        <v>4.7424937281283462E-2</v>
      </c>
      <c r="AK684" s="342">
        <v>7676.62</v>
      </c>
      <c r="AL684" s="784">
        <f t="shared" si="117"/>
        <v>0.30666735910260307</v>
      </c>
      <c r="AM684" s="350">
        <f>IFERROR(T684/(D684+D628+D572)*90,"0.00")</f>
        <v>19.174707201636885</v>
      </c>
      <c r="AN684" s="350">
        <f>IFERROR(U684/(F684+F628+F572)*90,"0.00")</f>
        <v>15.06436813236542</v>
      </c>
      <c r="AO684" s="350">
        <f>IFERROR(AD684/(E684+E628+E572)*90,"0.00")</f>
        <v>75.295478092309736</v>
      </c>
      <c r="AP684" s="639">
        <f t="shared" si="118"/>
        <v>7.8166762552618355E-2</v>
      </c>
    </row>
    <row r="685" spans="1:42" x14ac:dyDescent="0.2">
      <c r="A685" s="638">
        <v>42794</v>
      </c>
      <c r="B685" s="341" t="s">
        <v>136</v>
      </c>
      <c r="C685" s="351" t="s">
        <v>195</v>
      </c>
      <c r="D685" s="342">
        <v>160236.010002136</v>
      </c>
      <c r="E685" s="342">
        <v>4497</v>
      </c>
      <c r="F685" s="342">
        <v>155739.010002136</v>
      </c>
      <c r="G685" s="342">
        <v>98073.070143684701</v>
      </c>
      <c r="H685" s="342">
        <v>51427.020038127899</v>
      </c>
      <c r="I685" s="342">
        <v>46646.050105556802</v>
      </c>
      <c r="J685" s="342">
        <v>5831.1099963188199</v>
      </c>
      <c r="K685" s="343">
        <f t="shared" si="123"/>
        <v>92241.960147365884</v>
      </c>
      <c r="L685" s="342">
        <v>62479.1000881195</v>
      </c>
      <c r="M685" s="342">
        <v>1301.40999555588</v>
      </c>
      <c r="N685" s="354">
        <v>754</v>
      </c>
      <c r="O685" s="343">
        <f t="shared" si="127"/>
        <v>212.51460212484881</v>
      </c>
      <c r="P685" s="343">
        <f t="shared" si="109"/>
        <v>127.92506620485493</v>
      </c>
      <c r="Q685" s="343">
        <f t="shared" si="110"/>
        <v>130.07038480594787</v>
      </c>
      <c r="R685" s="344">
        <f t="shared" si="111"/>
        <v>0.6120538706772426</v>
      </c>
      <c r="S685" s="344">
        <f t="shared" si="112"/>
        <v>1.0821928867928634</v>
      </c>
      <c r="T685" s="343">
        <f t="shared" si="113"/>
        <v>95928.23000000001</v>
      </c>
      <c r="U685" s="342">
        <v>74721.23000000001</v>
      </c>
      <c r="V685" s="342">
        <v>1274.0899999999999</v>
      </c>
      <c r="W685" s="344">
        <f t="shared" si="119"/>
        <v>1.7051245007610284E-2</v>
      </c>
      <c r="X685" s="342">
        <v>1675.82</v>
      </c>
      <c r="Y685" s="344">
        <f t="shared" si="120"/>
        <v>2.2427628667247578E-2</v>
      </c>
      <c r="Z685" s="342">
        <v>3081.88</v>
      </c>
      <c r="AA685" s="344">
        <f t="shared" si="121"/>
        <v>4.1245038391364806E-2</v>
      </c>
      <c r="AB685" s="342">
        <v>2625.97</v>
      </c>
      <c r="AC685" s="344">
        <f t="shared" si="122"/>
        <v>3.5143559601468012E-2</v>
      </c>
      <c r="AD685" s="342">
        <v>21207</v>
      </c>
      <c r="AE685" s="342">
        <v>2192.41</v>
      </c>
      <c r="AF685" s="344">
        <f t="shared" si="114"/>
        <v>0.10338143065968783</v>
      </c>
      <c r="AG685" s="342">
        <v>1496.47</v>
      </c>
      <c r="AH685" s="344">
        <f t="shared" si="115"/>
        <v>7.0564907813457825E-2</v>
      </c>
      <c r="AI685" s="342">
        <v>2102.98</v>
      </c>
      <c r="AJ685" s="344">
        <f t="shared" si="116"/>
        <v>9.9164426840194275E-2</v>
      </c>
      <c r="AK685" s="342">
        <v>6607.22</v>
      </c>
      <c r="AL685" s="784">
        <f t="shared" si="117"/>
        <v>0.31155844768236907</v>
      </c>
      <c r="AM685" s="350">
        <f>IFERROR(T685/(D685+D629+D573)*90,"0.00")</f>
        <v>20.057411062323496</v>
      </c>
      <c r="AN685" s="350">
        <f>IFERROR(U685/(F685+F629+F573)*90,"0.00")</f>
        <v>16.124006211098962</v>
      </c>
      <c r="AO685" s="350">
        <f>IFERROR(AD685/(E685+E629+E573)*90,"0.00")</f>
        <v>142.78671354829055</v>
      </c>
      <c r="AP685" s="639">
        <f t="shared" si="118"/>
        <v>6.0453888075311338E-2</v>
      </c>
    </row>
    <row r="686" spans="1:42" x14ac:dyDescent="0.2">
      <c r="A686" s="638">
        <v>42794</v>
      </c>
      <c r="B686" s="341" t="s">
        <v>136</v>
      </c>
      <c r="C686" s="351" t="s">
        <v>305</v>
      </c>
      <c r="D686" s="342">
        <v>83421.850006580396</v>
      </c>
      <c r="E686" s="342">
        <v>3563</v>
      </c>
      <c r="F686" s="342">
        <v>79858.850006580396</v>
      </c>
      <c r="G686" s="342">
        <v>48104.550060197696</v>
      </c>
      <c r="H686" s="342">
        <v>23270.669952318101</v>
      </c>
      <c r="I686" s="342">
        <v>24833.880107879599</v>
      </c>
      <c r="J686" s="342">
        <v>5074.5900062322598</v>
      </c>
      <c r="K686" s="343">
        <f t="shared" si="123"/>
        <v>43029.960053965435</v>
      </c>
      <c r="L686" s="342">
        <v>30541.870086744399</v>
      </c>
      <c r="M686" s="342">
        <v>225</v>
      </c>
      <c r="N686" s="354">
        <v>388</v>
      </c>
      <c r="O686" s="343">
        <f t="shared" si="127"/>
        <v>215.0047680581969</v>
      </c>
      <c r="P686" s="343">
        <f t="shared" si="109"/>
        <v>135.70871113359794</v>
      </c>
      <c r="Q686" s="343">
        <f t="shared" si="110"/>
        <v>123.98079912422087</v>
      </c>
      <c r="R686" s="344">
        <f t="shared" si="111"/>
        <v>0.57664209144730261</v>
      </c>
      <c r="S686" s="344">
        <f t="shared" si="112"/>
        <v>1.0110163062460338</v>
      </c>
      <c r="T686" s="343">
        <f t="shared" si="113"/>
        <v>53241.869999999995</v>
      </c>
      <c r="U686" s="342">
        <v>46440.649999999994</v>
      </c>
      <c r="V686" s="342">
        <v>4643</v>
      </c>
      <c r="W686" s="344">
        <f t="shared" si="119"/>
        <v>9.997706750443848E-2</v>
      </c>
      <c r="X686" s="342">
        <v>208.83</v>
      </c>
      <c r="Y686" s="344">
        <f t="shared" si="120"/>
        <v>4.4967070874331007E-3</v>
      </c>
      <c r="Z686" s="342">
        <v>999.88</v>
      </c>
      <c r="AA686" s="344">
        <f t="shared" si="121"/>
        <v>2.1530275739034661E-2</v>
      </c>
      <c r="AB686" s="342">
        <v>547</v>
      </c>
      <c r="AC686" s="344">
        <f t="shared" si="122"/>
        <v>1.17784742461615E-2</v>
      </c>
      <c r="AD686" s="342">
        <v>6801.2199999999993</v>
      </c>
      <c r="AE686" s="342">
        <v>924.87</v>
      </c>
      <c r="AF686" s="344">
        <f t="shared" si="114"/>
        <v>0.13598589664795435</v>
      </c>
      <c r="AG686" s="342">
        <v>632.39</v>
      </c>
      <c r="AH686" s="344">
        <f t="shared" si="115"/>
        <v>9.2981847374441651E-2</v>
      </c>
      <c r="AI686" s="342">
        <v>927.23</v>
      </c>
      <c r="AJ686" s="344">
        <f t="shared" si="116"/>
        <v>0.13633289321621711</v>
      </c>
      <c r="AK686" s="342">
        <v>86.49</v>
      </c>
      <c r="AL686" s="784">
        <f t="shared" si="117"/>
        <v>1.2716836097053177E-2</v>
      </c>
      <c r="AM686" s="350">
        <f>IFERROR(T686/(D686+D630+D574)*90,"0.00")</f>
        <v>22.966875724718754</v>
      </c>
      <c r="AN686" s="350">
        <f>IFERROR(U686/(F686+F630+F574)*90,"0.00")</f>
        <v>20.971143104722344</v>
      </c>
      <c r="AO686" s="350">
        <f>IFERROR(AD686/(E686+E630+E574)*90,"0.00")</f>
        <v>65.58553519768563</v>
      </c>
      <c r="AP686" s="639">
        <f t="shared" si="118"/>
        <v>9.6374360297126968E-2</v>
      </c>
    </row>
    <row r="687" spans="1:42" x14ac:dyDescent="0.2">
      <c r="A687" s="638">
        <v>42794</v>
      </c>
      <c r="B687" s="341" t="s">
        <v>136</v>
      </c>
      <c r="C687" s="351" t="s">
        <v>196</v>
      </c>
      <c r="D687" s="342">
        <v>161295.63000249901</v>
      </c>
      <c r="E687" s="342">
        <v>11442</v>
      </c>
      <c r="F687" s="342">
        <v>149853.63000249901</v>
      </c>
      <c r="G687" s="342">
        <v>91941.170095831199</v>
      </c>
      <c r="H687" s="342">
        <v>39712.009991168998</v>
      </c>
      <c r="I687" s="342">
        <v>52229.160104662202</v>
      </c>
      <c r="J687" s="342">
        <v>6652.0200040340396</v>
      </c>
      <c r="K687" s="343">
        <f t="shared" si="123"/>
        <v>85289.150091797157</v>
      </c>
      <c r="L687" s="342">
        <v>57341.910017013499</v>
      </c>
      <c r="M687" s="342">
        <v>68</v>
      </c>
      <c r="N687" s="354">
        <v>710</v>
      </c>
      <c r="O687" s="343">
        <f t="shared" si="127"/>
        <v>227.17694366549156</v>
      </c>
      <c r="P687" s="343">
        <f t="shared" si="109"/>
        <v>146.31791547251481</v>
      </c>
      <c r="Q687" s="343">
        <f t="shared" si="110"/>
        <v>129.49460576877632</v>
      </c>
      <c r="R687" s="344">
        <f t="shared" si="111"/>
        <v>0.57001649762245088</v>
      </c>
      <c r="S687" s="344">
        <f t="shared" si="112"/>
        <v>0.94556897570873177</v>
      </c>
      <c r="T687" s="343">
        <f t="shared" si="113"/>
        <v>101544.20999999998</v>
      </c>
      <c r="U687" s="342">
        <v>77004.879999999976</v>
      </c>
      <c r="V687" s="342">
        <v>1585.51</v>
      </c>
      <c r="W687" s="344">
        <f t="shared" si="119"/>
        <v>2.0589734053218452E-2</v>
      </c>
      <c r="X687" s="342">
        <v>1854.15</v>
      </c>
      <c r="Y687" s="344">
        <f t="shared" si="120"/>
        <v>2.4078344125722951E-2</v>
      </c>
      <c r="Z687" s="342">
        <v>860.68</v>
      </c>
      <c r="AA687" s="344">
        <f t="shared" si="121"/>
        <v>1.1176953980059448E-2</v>
      </c>
      <c r="AB687" s="342">
        <v>1956.06</v>
      </c>
      <c r="AC687" s="344">
        <f t="shared" si="122"/>
        <v>2.540176674517252E-2</v>
      </c>
      <c r="AD687" s="342">
        <v>24539.33</v>
      </c>
      <c r="AE687" s="342">
        <v>727.88</v>
      </c>
      <c r="AF687" s="344">
        <f t="shared" si="114"/>
        <v>2.9661771531659581E-2</v>
      </c>
      <c r="AG687" s="342">
        <v>1710.57</v>
      </c>
      <c r="AH687" s="344">
        <f t="shared" si="115"/>
        <v>6.9707282146660068E-2</v>
      </c>
      <c r="AI687" s="342">
        <v>1250.3900000000001</v>
      </c>
      <c r="AJ687" s="344">
        <f t="shared" si="116"/>
        <v>5.0954528913381092E-2</v>
      </c>
      <c r="AK687" s="342">
        <v>8913.1200000000008</v>
      </c>
      <c r="AL687" s="784">
        <f t="shared" si="117"/>
        <v>0.36321774066366114</v>
      </c>
      <c r="AM687" s="350">
        <f>IFERROR(T687/(D687+D640+D575)*90,"0.00")</f>
        <v>21.187038138866988</v>
      </c>
      <c r="AN687" s="350">
        <f>IFERROR(U687/(F687+F640+F575)*90,"0.00")</f>
        <v>17.304742217201497</v>
      </c>
      <c r="AO687" s="350">
        <f>IFERROR(AD687/(E687+E640+E575)*90,"0.00")</f>
        <v>71.580336423154222</v>
      </c>
      <c r="AP687" s="639">
        <f t="shared" si="118"/>
        <v>6.4032092235231486E-2</v>
      </c>
    </row>
    <row r="688" spans="1:42" x14ac:dyDescent="0.2">
      <c r="A688" s="638">
        <v>42794</v>
      </c>
      <c r="B688" s="341" t="s">
        <v>136</v>
      </c>
      <c r="C688" s="351" t="s">
        <v>290</v>
      </c>
      <c r="D688" s="342">
        <v>125406.21000433</v>
      </c>
      <c r="E688" s="342">
        <v>4753</v>
      </c>
      <c r="F688" s="342">
        <v>120653.21000433</v>
      </c>
      <c r="G688" s="342">
        <v>69651.810117796107</v>
      </c>
      <c r="H688" s="342">
        <v>33186.060021475001</v>
      </c>
      <c r="I688" s="342">
        <v>36465.750096321099</v>
      </c>
      <c r="J688" s="342">
        <v>6384.80000710487</v>
      </c>
      <c r="K688" s="343">
        <f t="shared" si="123"/>
        <v>63267.010110691219</v>
      </c>
      <c r="L688" s="342">
        <v>43663.670030519403</v>
      </c>
      <c r="M688" s="342">
        <v>29.5</v>
      </c>
      <c r="N688" s="354">
        <v>522</v>
      </c>
      <c r="O688" s="343">
        <f t="shared" si="127"/>
        <v>240.24178161749043</v>
      </c>
      <c r="P688" s="343">
        <f t="shared" si="109"/>
        <v>156.53839075442644</v>
      </c>
      <c r="Q688" s="343">
        <f t="shared" si="110"/>
        <v>133.43258643255956</v>
      </c>
      <c r="R688" s="344">
        <f t="shared" si="111"/>
        <v>0.55540957752723064</v>
      </c>
      <c r="S688" s="344">
        <f t="shared" si="112"/>
        <v>0.92464406640300423</v>
      </c>
      <c r="T688" s="343">
        <f t="shared" si="113"/>
        <v>81620.210000000006</v>
      </c>
      <c r="U688" s="342">
        <v>64443.26</v>
      </c>
      <c r="V688" s="342">
        <v>2551.75</v>
      </c>
      <c r="W688" s="344">
        <f t="shared" si="119"/>
        <v>3.9596848452421556E-2</v>
      </c>
      <c r="X688" s="342">
        <v>425.39</v>
      </c>
      <c r="Y688" s="344">
        <f t="shared" si="120"/>
        <v>6.6010006321840327E-3</v>
      </c>
      <c r="Z688" s="342">
        <v>173.73</v>
      </c>
      <c r="AA688" s="344">
        <f t="shared" si="121"/>
        <v>2.6958598928732034E-3</v>
      </c>
      <c r="AB688" s="342">
        <v>-291.63</v>
      </c>
      <c r="AC688" s="344">
        <f t="shared" si="122"/>
        <v>-4.5253762767432934E-3</v>
      </c>
      <c r="AD688" s="342">
        <v>17176.95</v>
      </c>
      <c r="AE688" s="342">
        <v>1911.77</v>
      </c>
      <c r="AF688" s="344">
        <f t="shared" si="114"/>
        <v>0.11129857163233287</v>
      </c>
      <c r="AG688" s="342">
        <v>2071.58</v>
      </c>
      <c r="AH688" s="344">
        <f t="shared" si="115"/>
        <v>0.12060231880514292</v>
      </c>
      <c r="AI688" s="342">
        <v>1697.25</v>
      </c>
      <c r="AJ688" s="344">
        <f t="shared" si="116"/>
        <v>9.880974212534821E-2</v>
      </c>
      <c r="AK688" s="342">
        <v>2760.23</v>
      </c>
      <c r="AL688" s="784">
        <f t="shared" si="117"/>
        <v>0.16069383679873317</v>
      </c>
      <c r="AM688" s="350">
        <f>IFERROR(T688/(D688+D645+D576)*90,"0.00")</f>
        <v>21.317920806065811</v>
      </c>
      <c r="AN688" s="350">
        <f>IFERROR(U688/(F688+F645+F576)*90,"0.00")</f>
        <v>17.79096344111813</v>
      </c>
      <c r="AO688" s="350">
        <f>IFERROR(AD688/(E688+E645+E576)*90,"0.00")</f>
        <v>83.194785276073617</v>
      </c>
      <c r="AP688" s="639">
        <f t="shared" si="118"/>
        <v>7.8136855624894475E-2</v>
      </c>
    </row>
    <row r="689" spans="1:42" x14ac:dyDescent="0.2">
      <c r="A689" s="638">
        <v>42794</v>
      </c>
      <c r="B689" s="341" t="s">
        <v>136</v>
      </c>
      <c r="C689" s="351" t="s">
        <v>324</v>
      </c>
      <c r="D689" s="342">
        <v>43130.360000610402</v>
      </c>
      <c r="E689" s="342">
        <v>2078</v>
      </c>
      <c r="F689" s="342">
        <v>41052.360000610402</v>
      </c>
      <c r="G689" s="342">
        <v>15447.740020752</v>
      </c>
      <c r="H689" s="342">
        <v>2165.0999908447302</v>
      </c>
      <c r="I689" s="342">
        <v>13282.640029907199</v>
      </c>
      <c r="J689" s="342">
        <v>0</v>
      </c>
      <c r="K689" s="343">
        <f t="shared" si="123"/>
        <v>15447.740020751929</v>
      </c>
      <c r="L689" s="342">
        <v>2602.9200096130398</v>
      </c>
      <c r="M689" s="342">
        <v>10</v>
      </c>
      <c r="N689" s="354">
        <v>187</v>
      </c>
      <c r="O689" s="343">
        <f t="shared" si="127"/>
        <v>230.64363636690055</v>
      </c>
      <c r="P689" s="343">
        <f t="shared" si="109"/>
        <v>216.67080209089499</v>
      </c>
      <c r="Q689" s="343">
        <f t="shared" si="110"/>
        <v>82.608235405090525</v>
      </c>
      <c r="R689" s="344">
        <f t="shared" si="111"/>
        <v>0.35816394809904917</v>
      </c>
      <c r="S689" s="344">
        <f t="shared" si="112"/>
        <v>0.38126150181710117</v>
      </c>
      <c r="T689" s="343">
        <f t="shared" si="113"/>
        <v>25069.7</v>
      </c>
      <c r="U689" s="342">
        <v>24957.99</v>
      </c>
      <c r="V689" s="342">
        <v>0</v>
      </c>
      <c r="W689" s="344">
        <f t="shared" si="119"/>
        <v>0</v>
      </c>
      <c r="X689" s="342">
        <v>0</v>
      </c>
      <c r="Y689" s="344">
        <f t="shared" si="120"/>
        <v>0</v>
      </c>
      <c r="Z689" s="342">
        <v>0</v>
      </c>
      <c r="AA689" s="344">
        <f t="shared" si="121"/>
        <v>0</v>
      </c>
      <c r="AB689" s="342">
        <v>0</v>
      </c>
      <c r="AC689" s="344">
        <f t="shared" si="122"/>
        <v>0</v>
      </c>
      <c r="AD689" s="342">
        <v>111.71</v>
      </c>
      <c r="AE689" s="342">
        <v>0</v>
      </c>
      <c r="AF689" s="344">
        <f t="shared" si="114"/>
        <v>0</v>
      </c>
      <c r="AG689" s="342">
        <v>0</v>
      </c>
      <c r="AH689" s="344">
        <f t="shared" si="115"/>
        <v>0</v>
      </c>
      <c r="AI689" s="342">
        <v>0</v>
      </c>
      <c r="AJ689" s="344">
        <f t="shared" si="116"/>
        <v>0</v>
      </c>
      <c r="AK689" s="342">
        <v>0</v>
      </c>
      <c r="AL689" s="784">
        <f t="shared" si="117"/>
        <v>0</v>
      </c>
      <c r="AM689" s="350">
        <f>IFERROR(T689/(D689)*30,"0.00")</f>
        <v>17.437623984343187</v>
      </c>
      <c r="AN689" s="350">
        <f>IFERROR(U689/(F689)*30,"0.00")</f>
        <v>18.238651809271552</v>
      </c>
      <c r="AO689" s="350">
        <f>IFERROR(AD689/(E689)*30,"0.00")</f>
        <v>1.6127526467757458</v>
      </c>
      <c r="AP689" s="639">
        <f t="shared" si="118"/>
        <v>0</v>
      </c>
    </row>
    <row r="690" spans="1:42" x14ac:dyDescent="0.2">
      <c r="A690" s="638">
        <v>42794</v>
      </c>
      <c r="B690" s="341" t="s">
        <v>137</v>
      </c>
      <c r="C690" s="351" t="s">
        <v>209</v>
      </c>
      <c r="D690" s="342">
        <v>92696.810003776103</v>
      </c>
      <c r="E690" s="342">
        <v>5546</v>
      </c>
      <c r="F690" s="342">
        <v>87150.810003776103</v>
      </c>
      <c r="G690" s="342">
        <v>56740.4400104284</v>
      </c>
      <c r="H690" s="342">
        <v>28779.899936676</v>
      </c>
      <c r="I690" s="342">
        <v>27960.5400737524</v>
      </c>
      <c r="J690" s="342">
        <v>4744.2199907302902</v>
      </c>
      <c r="K690" s="343">
        <f t="shared" si="123"/>
        <v>51996.220019698107</v>
      </c>
      <c r="L690" s="342">
        <v>37320.640045166001</v>
      </c>
      <c r="M690" s="342">
        <v>1053.07999372482</v>
      </c>
      <c r="N690" s="354">
        <v>384</v>
      </c>
      <c r="O690" s="343">
        <f t="shared" si="127"/>
        <v>241.39794271816695</v>
      </c>
      <c r="P690" s="343">
        <f t="shared" si="109"/>
        <v>141.46638011688876</v>
      </c>
      <c r="Q690" s="343">
        <f t="shared" si="110"/>
        <v>147.76156252715728</v>
      </c>
      <c r="R690" s="344">
        <f t="shared" si="111"/>
        <v>0.61210779538278626</v>
      </c>
      <c r="S690" s="344">
        <f t="shared" si="112"/>
        <v>1.1444480287672283</v>
      </c>
      <c r="T690" s="343">
        <f t="shared" si="113"/>
        <v>68615.199999999997</v>
      </c>
      <c r="U690" s="342">
        <v>50984.479999999996</v>
      </c>
      <c r="V690" s="342">
        <v>247</v>
      </c>
      <c r="W690" s="344">
        <f t="shared" si="119"/>
        <v>4.8446115366872437E-3</v>
      </c>
      <c r="X690" s="342">
        <v>1128.3800000000001</v>
      </c>
      <c r="Y690" s="344">
        <f t="shared" si="120"/>
        <v>2.2131833059786041E-2</v>
      </c>
      <c r="Z690" s="342">
        <v>1662.19</v>
      </c>
      <c r="AA690" s="344">
        <f t="shared" si="121"/>
        <v>3.2601881984478415E-2</v>
      </c>
      <c r="AB690" s="342">
        <v>2143.34</v>
      </c>
      <c r="AC690" s="344">
        <f t="shared" si="122"/>
        <v>4.2039067575073835E-2</v>
      </c>
      <c r="AD690" s="342">
        <v>17630.72</v>
      </c>
      <c r="AE690" s="342">
        <v>625.88</v>
      </c>
      <c r="AF690" s="344">
        <f t="shared" si="114"/>
        <v>3.5499401045447944E-2</v>
      </c>
      <c r="AG690" s="342">
        <v>2011.24</v>
      </c>
      <c r="AH690" s="344">
        <f t="shared" si="115"/>
        <v>0.11407588572673151</v>
      </c>
      <c r="AI690" s="342">
        <v>1238.53</v>
      </c>
      <c r="AJ690" s="344">
        <f t="shared" si="116"/>
        <v>7.0248407325395668E-2</v>
      </c>
      <c r="AK690" s="342">
        <v>7649.82</v>
      </c>
      <c r="AL690" s="784">
        <f t="shared" si="117"/>
        <v>0.4338915257005953</v>
      </c>
      <c r="AM690" s="350">
        <f>IFERROR(T690/(D690+D610+D577)*90,"0.00")</f>
        <v>21.244663563282575</v>
      </c>
      <c r="AN690" s="350">
        <f>IFERROR(U690/(F690+F610+F577)*90,"0.00")</f>
        <v>16.704809518497701</v>
      </c>
      <c r="AO690" s="350">
        <f>IFERROR(AD690/(E690+E610+E577)*90,"0.00")</f>
        <v>99.228616096554319</v>
      </c>
      <c r="AP690" s="639">
        <f t="shared" si="118"/>
        <v>8.7333397157580289E-2</v>
      </c>
    </row>
    <row r="691" spans="1:42" x14ac:dyDescent="0.2">
      <c r="A691" s="638">
        <v>42794</v>
      </c>
      <c r="B691" s="341" t="s">
        <v>137</v>
      </c>
      <c r="C691" s="351" t="s">
        <v>197</v>
      </c>
      <c r="D691" s="342">
        <v>215271.15001201601</v>
      </c>
      <c r="E691" s="342">
        <v>8570</v>
      </c>
      <c r="F691" s="342">
        <v>206701.15001201601</v>
      </c>
      <c r="G691" s="342">
        <v>132502.56011350799</v>
      </c>
      <c r="H691" s="342">
        <v>66023.409985143706</v>
      </c>
      <c r="I691" s="342">
        <v>66479.150128364607</v>
      </c>
      <c r="J691" s="342">
        <v>10472.4499793053</v>
      </c>
      <c r="K691" s="343">
        <f t="shared" si="123"/>
        <v>122030.11013420302</v>
      </c>
      <c r="L691" s="342">
        <v>83422.519995193899</v>
      </c>
      <c r="M691" s="342">
        <v>2539.0299976319102</v>
      </c>
      <c r="N691" s="354">
        <v>931</v>
      </c>
      <c r="O691" s="343">
        <f t="shared" si="127"/>
        <v>231.2257250397594</v>
      </c>
      <c r="P691" s="343">
        <f t="shared" si="109"/>
        <v>138.89323310331923</v>
      </c>
      <c r="Q691" s="343">
        <f t="shared" si="110"/>
        <v>142.32283578250087</v>
      </c>
      <c r="R691" s="344">
        <f t="shared" si="111"/>
        <v>0.61551471298458849</v>
      </c>
      <c r="S691" s="344">
        <f t="shared" si="112"/>
        <v>1.1149927448532462</v>
      </c>
      <c r="T691" s="343">
        <f t="shared" si="113"/>
        <v>173748.16999999998</v>
      </c>
      <c r="U691" s="342">
        <v>140636.35</v>
      </c>
      <c r="V691" s="342">
        <v>9738.74</v>
      </c>
      <c r="W691" s="344">
        <f t="shared" si="119"/>
        <v>6.9247673165579171E-2</v>
      </c>
      <c r="X691" s="342">
        <v>7286.39</v>
      </c>
      <c r="Y691" s="344">
        <f t="shared" si="120"/>
        <v>5.1810147234338778E-2</v>
      </c>
      <c r="Z691" s="342">
        <v>5098.3999999999996</v>
      </c>
      <c r="AA691" s="344">
        <f t="shared" si="121"/>
        <v>3.6252362920397178E-2</v>
      </c>
      <c r="AB691" s="342">
        <v>8449.34</v>
      </c>
      <c r="AC691" s="344">
        <f t="shared" si="122"/>
        <v>6.0079346484745944E-2</v>
      </c>
      <c r="AD691" s="342">
        <v>33111.819999999992</v>
      </c>
      <c r="AE691" s="342">
        <v>2814.3</v>
      </c>
      <c r="AF691" s="344">
        <f t="shared" si="114"/>
        <v>8.4993817917589573E-2</v>
      </c>
      <c r="AG691" s="342">
        <v>2846.39</v>
      </c>
      <c r="AH691" s="344">
        <f t="shared" si="115"/>
        <v>8.5962958242706097E-2</v>
      </c>
      <c r="AI691" s="342">
        <v>3261.6</v>
      </c>
      <c r="AJ691" s="344">
        <f t="shared" si="116"/>
        <v>9.8502589105642663E-2</v>
      </c>
      <c r="AK691" s="342">
        <v>13341.73</v>
      </c>
      <c r="AL691" s="784">
        <f t="shared" si="117"/>
        <v>0.40292952788460445</v>
      </c>
      <c r="AM691" s="350">
        <f>IFERROR(T691/(D691+D611+D578)*90,"0.00")</f>
        <v>24.612964512524201</v>
      </c>
      <c r="AN691" s="350">
        <f>IFERROR(U691/(F691+F611+F578)*90,"0.00")</f>
        <v>20.875005138776004</v>
      </c>
      <c r="AO691" s="350">
        <f>IFERROR(AD691/(E691+E611+E578)*90,"0.00")</f>
        <v>102.78563101438274</v>
      </c>
      <c r="AP691" s="639">
        <f t="shared" si="118"/>
        <v>8.0987412982107557E-2</v>
      </c>
    </row>
    <row r="692" spans="1:42" x14ac:dyDescent="0.2">
      <c r="A692" s="638">
        <v>42794</v>
      </c>
      <c r="B692" s="341" t="s">
        <v>137</v>
      </c>
      <c r="C692" s="351" t="s">
        <v>199</v>
      </c>
      <c r="D692" s="342">
        <v>234588.45000560599</v>
      </c>
      <c r="E692" s="342">
        <v>9766</v>
      </c>
      <c r="F692" s="342">
        <v>224822.45000560599</v>
      </c>
      <c r="G692" s="342">
        <v>145501.190140158</v>
      </c>
      <c r="H692" s="342">
        <v>72322.800055742293</v>
      </c>
      <c r="I692" s="342">
        <v>73178.390084415703</v>
      </c>
      <c r="J692" s="342">
        <v>8655.0699894428308</v>
      </c>
      <c r="K692" s="343">
        <f t="shared" si="123"/>
        <v>136846.12015071517</v>
      </c>
      <c r="L692" s="342">
        <v>83434.120046406999</v>
      </c>
      <c r="M692" s="342">
        <v>3095.9299888610799</v>
      </c>
      <c r="N692" s="354">
        <v>1085</v>
      </c>
      <c r="O692" s="343">
        <f t="shared" si="127"/>
        <v>216.21055300055852</v>
      </c>
      <c r="P692" s="343">
        <f t="shared" si="109"/>
        <v>136.45935481137136</v>
      </c>
      <c r="Q692" s="343">
        <f t="shared" si="110"/>
        <v>134.10247939185069</v>
      </c>
      <c r="R692" s="344">
        <f t="shared" si="111"/>
        <v>0.62024021274994967</v>
      </c>
      <c r="S692" s="344">
        <f t="shared" si="112"/>
        <v>1.0437425717168922</v>
      </c>
      <c r="T692" s="343">
        <f t="shared" si="113"/>
        <v>182849.84</v>
      </c>
      <c r="U692" s="342">
        <v>142175.87</v>
      </c>
      <c r="V692" s="342">
        <v>7536.07</v>
      </c>
      <c r="W692" s="344">
        <f t="shared" si="119"/>
        <v>5.3005267349515779E-2</v>
      </c>
      <c r="X692" s="342">
        <v>5419.43</v>
      </c>
      <c r="Y692" s="344">
        <f t="shared" si="120"/>
        <v>3.8117790311393916E-2</v>
      </c>
      <c r="Z692" s="342">
        <v>3808.93</v>
      </c>
      <c r="AA692" s="344">
        <f t="shared" si="121"/>
        <v>2.6790270388357743E-2</v>
      </c>
      <c r="AB692" s="342">
        <v>4301.72</v>
      </c>
      <c r="AC692" s="344">
        <f t="shared" si="122"/>
        <v>3.0256329713333214E-2</v>
      </c>
      <c r="AD692" s="342">
        <v>40673.97</v>
      </c>
      <c r="AE692" s="342">
        <v>3125.38</v>
      </c>
      <c r="AF692" s="344">
        <f t="shared" si="114"/>
        <v>7.6839806883862091E-2</v>
      </c>
      <c r="AG692" s="342">
        <v>3493.64</v>
      </c>
      <c r="AH692" s="344">
        <f t="shared" si="115"/>
        <v>8.5893754654389518E-2</v>
      </c>
      <c r="AI692" s="342">
        <v>3627.32</v>
      </c>
      <c r="AJ692" s="344">
        <f t="shared" si="116"/>
        <v>8.9180377524003679E-2</v>
      </c>
      <c r="AK692" s="342">
        <v>12892.36</v>
      </c>
      <c r="AL692" s="784">
        <f t="shared" si="117"/>
        <v>0.31696832150881754</v>
      </c>
      <c r="AM692" s="350">
        <f>IFERROR(T692/(D692+D614+D579)*90,"0.00")</f>
        <v>22.73533265755092</v>
      </c>
      <c r="AN692" s="350">
        <f>IFERROR(U692/(F692+F614+F579)*90,"0.00")</f>
        <v>18.478859941882103</v>
      </c>
      <c r="AO692" s="350">
        <f>IFERROR(AD692/(E692+E614+E579)*90,"0.00")</f>
        <v>116.68921296739026</v>
      </c>
      <c r="AP692" s="639">
        <f t="shared" si="118"/>
        <v>5.8457135773294804E-2</v>
      </c>
    </row>
    <row r="693" spans="1:42" x14ac:dyDescent="0.2">
      <c r="A693" s="638">
        <v>42794</v>
      </c>
      <c r="B693" s="341" t="s">
        <v>137</v>
      </c>
      <c r="C693" s="351" t="s">
        <v>200</v>
      </c>
      <c r="D693" s="342">
        <v>0</v>
      </c>
      <c r="E693" s="342">
        <v>0</v>
      </c>
      <c r="F693" s="342">
        <v>0</v>
      </c>
      <c r="G693" s="342">
        <v>0</v>
      </c>
      <c r="H693" s="342">
        <v>0</v>
      </c>
      <c r="I693" s="342">
        <v>0</v>
      </c>
      <c r="J693" s="342">
        <v>0</v>
      </c>
      <c r="K693" s="343">
        <f t="shared" si="123"/>
        <v>0</v>
      </c>
      <c r="L693" s="342">
        <v>0</v>
      </c>
      <c r="M693" s="342">
        <v>-5.4400000572199998</v>
      </c>
      <c r="N693" s="354">
        <v>0</v>
      </c>
      <c r="O693" s="343" t="str">
        <f t="shared" si="127"/>
        <v>$0.00</v>
      </c>
      <c r="P693" s="343" t="str">
        <f t="shared" si="109"/>
        <v>$0.00</v>
      </c>
      <c r="Q693" s="343" t="str">
        <f t="shared" si="110"/>
        <v>$0.00</v>
      </c>
      <c r="R693" s="344" t="str">
        <f t="shared" si="111"/>
        <v>0.00%</v>
      </c>
      <c r="S693" s="344">
        <f t="shared" si="112"/>
        <v>0</v>
      </c>
      <c r="T693" s="343">
        <f t="shared" si="113"/>
        <v>-79.31</v>
      </c>
      <c r="U693" s="342">
        <v>-25</v>
      </c>
      <c r="V693" s="342">
        <v>0</v>
      </c>
      <c r="W693" s="344">
        <v>0</v>
      </c>
      <c r="X693" s="342">
        <v>0</v>
      </c>
      <c r="Y693" s="344">
        <f t="shared" si="120"/>
        <v>0</v>
      </c>
      <c r="Z693" s="342">
        <v>0</v>
      </c>
      <c r="AA693" s="344">
        <f t="shared" si="121"/>
        <v>0</v>
      </c>
      <c r="AB693" s="342">
        <v>-25</v>
      </c>
      <c r="AC693" s="344">
        <v>0</v>
      </c>
      <c r="AD693" s="342">
        <v>-54.31</v>
      </c>
      <c r="AE693" s="342">
        <v>0</v>
      </c>
      <c r="AF693" s="344">
        <f t="shared" si="114"/>
        <v>0</v>
      </c>
      <c r="AG693" s="342">
        <v>0</v>
      </c>
      <c r="AH693" s="344">
        <f t="shared" si="115"/>
        <v>0</v>
      </c>
      <c r="AI693" s="342">
        <v>0</v>
      </c>
      <c r="AJ693" s="344">
        <f t="shared" si="116"/>
        <v>0</v>
      </c>
      <c r="AK693" s="342">
        <v>-54.31</v>
      </c>
      <c r="AL693" s="784">
        <f t="shared" si="117"/>
        <v>1</v>
      </c>
      <c r="AM693" s="350">
        <v>0</v>
      </c>
      <c r="AN693" s="350">
        <v>0</v>
      </c>
      <c r="AO693" s="350">
        <v>0</v>
      </c>
      <c r="AP693" s="639">
        <f t="shared" si="118"/>
        <v>0</v>
      </c>
    </row>
    <row r="694" spans="1:42" x14ac:dyDescent="0.2">
      <c r="A694" s="638">
        <v>42794</v>
      </c>
      <c r="B694" s="341" t="s">
        <v>137</v>
      </c>
      <c r="C694" s="351" t="s">
        <v>201</v>
      </c>
      <c r="D694" s="342">
        <v>268726.12000430701</v>
      </c>
      <c r="E694" s="342">
        <v>9603</v>
      </c>
      <c r="F694" s="342">
        <v>259123.12000430701</v>
      </c>
      <c r="G694" s="342">
        <v>152885.810189724</v>
      </c>
      <c r="H694" s="342">
        <v>90533.400110840797</v>
      </c>
      <c r="I694" s="342">
        <v>62352.4100788832</v>
      </c>
      <c r="J694" s="342">
        <v>7883.5799987316104</v>
      </c>
      <c r="K694" s="343">
        <f t="shared" si="123"/>
        <v>145002.23019099238</v>
      </c>
      <c r="L694" s="342">
        <v>100802.109876174</v>
      </c>
      <c r="M694" s="342">
        <v>6832.84998841584</v>
      </c>
      <c r="N694" s="354">
        <v>1183</v>
      </c>
      <c r="O694" s="343">
        <f t="shared" si="127"/>
        <v>227.15648352012428</v>
      </c>
      <c r="P694" s="343">
        <f t="shared" si="109"/>
        <v>136.17173300060622</v>
      </c>
      <c r="Q694" s="343">
        <f t="shared" si="110"/>
        <v>129.2356806337481</v>
      </c>
      <c r="R694" s="344">
        <f t="shared" si="111"/>
        <v>0.5689279858142321</v>
      </c>
      <c r="S694" s="344">
        <f t="shared" si="112"/>
        <v>0.99789977786369677</v>
      </c>
      <c r="T694" s="343">
        <f t="shared" si="113"/>
        <v>251575.78999999998</v>
      </c>
      <c r="U694" s="342">
        <v>196965.16999999998</v>
      </c>
      <c r="V694" s="342">
        <v>5930.83</v>
      </c>
      <c r="W694" s="344">
        <f t="shared" si="119"/>
        <v>3.0111059737109869E-2</v>
      </c>
      <c r="X694" s="342">
        <v>9094.7099999999991</v>
      </c>
      <c r="Y694" s="344">
        <f t="shared" si="120"/>
        <v>4.6174204302212418E-2</v>
      </c>
      <c r="Z694" s="342">
        <v>5926.76</v>
      </c>
      <c r="AA694" s="344">
        <f t="shared" si="121"/>
        <v>3.009039618527479E-2</v>
      </c>
      <c r="AB694" s="342">
        <v>9556.0400000000009</v>
      </c>
      <c r="AC694" s="344">
        <f t="shared" si="122"/>
        <v>4.8516395056039614E-2</v>
      </c>
      <c r="AD694" s="342">
        <v>54610.62</v>
      </c>
      <c r="AE694" s="342">
        <v>3489.11</v>
      </c>
      <c r="AF694" s="344">
        <f t="shared" si="114"/>
        <v>6.389068646354866E-2</v>
      </c>
      <c r="AG694" s="342">
        <v>5078.58</v>
      </c>
      <c r="AH694" s="344">
        <f t="shared" si="115"/>
        <v>9.2996197442914943E-2</v>
      </c>
      <c r="AI694" s="342">
        <v>3963.3</v>
      </c>
      <c r="AJ694" s="344">
        <f t="shared" si="116"/>
        <v>7.2573796085816281E-2</v>
      </c>
      <c r="AK694" s="342">
        <v>23385.45</v>
      </c>
      <c r="AL694" s="784">
        <f t="shared" si="117"/>
        <v>0.4282216535904555</v>
      </c>
      <c r="AM694" s="350">
        <f>IFERROR(T694/(D694+D616+D580)*90,"0.00")</f>
        <v>28.373926923934345</v>
      </c>
      <c r="AN694" s="350">
        <f>IFERROR(U694/(F694+F616+F580)*90,"0.00")</f>
        <v>23.07660292686522</v>
      </c>
      <c r="AO694" s="350">
        <f>IFERROR(AD694/(E694+E616+E580)*90,"0.00")</f>
        <v>164.90373427277305</v>
      </c>
      <c r="AP694" s="639">
        <f t="shared" si="118"/>
        <v>4.8938625756336007E-2</v>
      </c>
    </row>
    <row r="695" spans="1:42" x14ac:dyDescent="0.2">
      <c r="A695" s="638">
        <v>42794</v>
      </c>
      <c r="B695" s="341" t="s">
        <v>137</v>
      </c>
      <c r="C695" s="351" t="s">
        <v>203</v>
      </c>
      <c r="D695" s="342">
        <v>188729.81000289699</v>
      </c>
      <c r="E695" s="342">
        <v>11887</v>
      </c>
      <c r="F695" s="342">
        <v>176842.81000289699</v>
      </c>
      <c r="G695" s="342">
        <v>125531.420027912</v>
      </c>
      <c r="H695" s="342">
        <v>57667.449978768796</v>
      </c>
      <c r="I695" s="342">
        <v>67863.970049142794</v>
      </c>
      <c r="J695" s="342">
        <v>7329.13000392914</v>
      </c>
      <c r="K695" s="343">
        <f t="shared" si="123"/>
        <v>118202.29002398245</v>
      </c>
      <c r="L695" s="342">
        <v>68397.489971220493</v>
      </c>
      <c r="M695" s="342">
        <v>1637.80999135971</v>
      </c>
      <c r="N695" s="354">
        <v>983</v>
      </c>
      <c r="O695" s="343">
        <f t="shared" si="127"/>
        <v>191.9937029530997</v>
      </c>
      <c r="P695" s="343">
        <f t="shared" si="109"/>
        <v>120.74721265545961</v>
      </c>
      <c r="Q695" s="343">
        <f t="shared" si="110"/>
        <v>127.70236015046957</v>
      </c>
      <c r="R695" s="344">
        <f t="shared" si="111"/>
        <v>0.66513827373632539</v>
      </c>
      <c r="S695" s="344">
        <f t="shared" si="112"/>
        <v>1.1272032653854844</v>
      </c>
      <c r="T695" s="343">
        <f t="shared" si="113"/>
        <v>137759.10999999999</v>
      </c>
      <c r="U695" s="342">
        <v>105288.28999999998</v>
      </c>
      <c r="V695" s="342">
        <v>4844.92</v>
      </c>
      <c r="W695" s="344">
        <f t="shared" si="119"/>
        <v>4.6015753508771025E-2</v>
      </c>
      <c r="X695" s="342">
        <v>5159.25</v>
      </c>
      <c r="Y695" s="344">
        <f t="shared" si="120"/>
        <v>4.9001175724289955E-2</v>
      </c>
      <c r="Z695" s="342">
        <v>499.09</v>
      </c>
      <c r="AA695" s="344">
        <f t="shared" si="121"/>
        <v>4.7402232479984248E-3</v>
      </c>
      <c r="AB695" s="342">
        <v>5191.8999999999996</v>
      </c>
      <c r="AC695" s="344">
        <f t="shared" si="122"/>
        <v>4.931127668613481E-2</v>
      </c>
      <c r="AD695" s="342">
        <v>32470.82</v>
      </c>
      <c r="AE695" s="342">
        <v>2426.44</v>
      </c>
      <c r="AF695" s="344">
        <f t="shared" si="114"/>
        <v>7.4726785464610992E-2</v>
      </c>
      <c r="AG695" s="342">
        <v>2566.63</v>
      </c>
      <c r="AH695" s="344">
        <f t="shared" si="115"/>
        <v>7.9044200300454379E-2</v>
      </c>
      <c r="AI695" s="342">
        <v>2268.16</v>
      </c>
      <c r="AJ695" s="344">
        <f t="shared" si="116"/>
        <v>6.9852255040063663E-2</v>
      </c>
      <c r="AK695" s="342">
        <v>10691.82</v>
      </c>
      <c r="AL695" s="784">
        <f t="shared" si="117"/>
        <v>0.32927471495946203</v>
      </c>
      <c r="AM695" s="350">
        <f>IFERROR(T695/(D695+D622+D581)*90,"0.00")</f>
        <v>21.50834879853377</v>
      </c>
      <c r="AN695" s="350">
        <f>IFERROR(U695/(F695+F622+F581)*90,"0.00")</f>
        <v>17.411266711462972</v>
      </c>
      <c r="AO695" s="350">
        <f>IFERROR(AD695/(E695+E622+E581)*90,"0.00")</f>
        <v>90.756950310559006</v>
      </c>
      <c r="AP695" s="639">
        <f t="shared" si="118"/>
        <v>6.1747843278005574E-2</v>
      </c>
    </row>
    <row r="696" spans="1:42" x14ac:dyDescent="0.2">
      <c r="A696" s="638">
        <v>42794</v>
      </c>
      <c r="B696" s="341" t="s">
        <v>137</v>
      </c>
      <c r="C696" s="351" t="s">
        <v>204</v>
      </c>
      <c r="D696" s="342">
        <v>102501.250002403</v>
      </c>
      <c r="E696" s="342">
        <v>4423</v>
      </c>
      <c r="F696" s="342">
        <v>98078.250002402798</v>
      </c>
      <c r="G696" s="342">
        <v>57416.030045270898</v>
      </c>
      <c r="H696" s="342">
        <v>28629.1999769211</v>
      </c>
      <c r="I696" s="342">
        <v>28786.830068349798</v>
      </c>
      <c r="J696" s="342">
        <v>4055.1699895858801</v>
      </c>
      <c r="K696" s="343">
        <f t="shared" si="123"/>
        <v>53360.860055685014</v>
      </c>
      <c r="L696" s="342">
        <v>37403.200054168701</v>
      </c>
      <c r="M696" s="342">
        <v>1137.71998596191</v>
      </c>
      <c r="N696" s="354">
        <v>544</v>
      </c>
      <c r="O696" s="343">
        <f t="shared" si="127"/>
        <v>188.42141544559337</v>
      </c>
      <c r="P696" s="343">
        <f t="shared" si="109"/>
        <v>117.57413596005917</v>
      </c>
      <c r="Q696" s="343">
        <f t="shared" si="110"/>
        <v>105.54417287733621</v>
      </c>
      <c r="R696" s="344">
        <f t="shared" si="111"/>
        <v>0.5601495595802487</v>
      </c>
      <c r="S696" s="344">
        <f t="shared" si="112"/>
        <v>0.95844882262979814</v>
      </c>
      <c r="T696" s="343">
        <f t="shared" si="113"/>
        <v>73301.88</v>
      </c>
      <c r="U696" s="342">
        <v>54578.490000000005</v>
      </c>
      <c r="V696" s="342">
        <v>840.01</v>
      </c>
      <c r="W696" s="344">
        <f t="shared" si="119"/>
        <v>1.5390861857849126E-2</v>
      </c>
      <c r="X696" s="342">
        <v>885.46</v>
      </c>
      <c r="Y696" s="344">
        <f t="shared" si="120"/>
        <v>1.6223607505447657E-2</v>
      </c>
      <c r="Z696" s="342">
        <v>681.39</v>
      </c>
      <c r="AA696" s="344">
        <f t="shared" si="121"/>
        <v>1.2484588708848485E-2</v>
      </c>
      <c r="AB696" s="342">
        <v>3574.52</v>
      </c>
      <c r="AC696" s="344">
        <f t="shared" si="122"/>
        <v>6.5493200709656862E-2</v>
      </c>
      <c r="AD696" s="342">
        <v>18723.39</v>
      </c>
      <c r="AE696" s="342">
        <v>1139.6199999999999</v>
      </c>
      <c r="AF696" s="344">
        <f t="shared" si="114"/>
        <v>6.0866114523064466E-2</v>
      </c>
      <c r="AG696" s="342">
        <v>853.83</v>
      </c>
      <c r="AH696" s="344">
        <f t="shared" si="115"/>
        <v>4.5602318810856371E-2</v>
      </c>
      <c r="AI696" s="342">
        <v>1512.26</v>
      </c>
      <c r="AJ696" s="344">
        <f t="shared" si="116"/>
        <v>8.0768493312375594E-2</v>
      </c>
      <c r="AK696" s="342">
        <v>8448.1</v>
      </c>
      <c r="AL696" s="784">
        <f t="shared" si="117"/>
        <v>0.45120568444069159</v>
      </c>
      <c r="AM696" s="350">
        <f>IFERROR(T696/(D696+D623+D582)*90,"0.00")</f>
        <v>23.191410601718001</v>
      </c>
      <c r="AN696" s="350">
        <f>IFERROR(U696/(F696+F623+F582)*90,"0.00")</f>
        <v>18.420351356761913</v>
      </c>
      <c r="AO696" s="350">
        <f>IFERROR(AD696/(E696+E623+E582)*90,"0.00")</f>
        <v>94.663507668108522</v>
      </c>
      <c r="AP696" s="639">
        <f t="shared" si="118"/>
        <v>6.3401330042822807E-2</v>
      </c>
    </row>
    <row r="697" spans="1:42" x14ac:dyDescent="0.2">
      <c r="A697" s="638">
        <v>42794</v>
      </c>
      <c r="B697" s="341" t="s">
        <v>137</v>
      </c>
      <c r="C697" s="351" t="s">
        <v>205</v>
      </c>
      <c r="D697" s="342">
        <v>0</v>
      </c>
      <c r="E697" s="342">
        <v>0</v>
      </c>
      <c r="F697" s="342">
        <v>0</v>
      </c>
      <c r="G697" s="342">
        <v>0</v>
      </c>
      <c r="H697" s="342">
        <v>0</v>
      </c>
      <c r="I697" s="342">
        <v>0</v>
      </c>
      <c r="J697" s="342">
        <v>0</v>
      </c>
      <c r="K697" s="343">
        <f t="shared" si="123"/>
        <v>0</v>
      </c>
      <c r="L697" s="342">
        <v>0</v>
      </c>
      <c r="M697" s="342">
        <v>-10.440000057220001</v>
      </c>
      <c r="N697" s="354">
        <v>0</v>
      </c>
      <c r="O697" s="343" t="str">
        <f t="shared" si="127"/>
        <v>$0.00</v>
      </c>
      <c r="P697" s="343" t="str">
        <f t="shared" si="109"/>
        <v>$0.00</v>
      </c>
      <c r="Q697" s="343" t="str">
        <f t="shared" si="110"/>
        <v>$0.00</v>
      </c>
      <c r="R697" s="344" t="str">
        <f t="shared" si="111"/>
        <v>0.00%</v>
      </c>
      <c r="S697" s="344">
        <f t="shared" si="112"/>
        <v>0</v>
      </c>
      <c r="T697" s="343">
        <f t="shared" si="113"/>
        <v>-83.91</v>
      </c>
      <c r="U697" s="342">
        <v>0</v>
      </c>
      <c r="V697" s="342">
        <v>0</v>
      </c>
      <c r="W697" s="344" t="str">
        <f t="shared" si="119"/>
        <v>0.00%</v>
      </c>
      <c r="X697" s="342">
        <v>0</v>
      </c>
      <c r="Y697" s="344" t="str">
        <f t="shared" si="120"/>
        <v>0.00%</v>
      </c>
      <c r="Z697" s="342">
        <v>0</v>
      </c>
      <c r="AA697" s="344">
        <f t="shared" si="121"/>
        <v>0</v>
      </c>
      <c r="AB697" s="342">
        <v>0</v>
      </c>
      <c r="AC697" s="344" t="str">
        <f t="shared" si="122"/>
        <v>0.00%</v>
      </c>
      <c r="AD697" s="342">
        <v>-83.91</v>
      </c>
      <c r="AE697" s="342">
        <v>0</v>
      </c>
      <c r="AF697" s="344">
        <f t="shared" si="114"/>
        <v>0</v>
      </c>
      <c r="AG697" s="342">
        <v>0</v>
      </c>
      <c r="AH697" s="344">
        <f t="shared" si="115"/>
        <v>0</v>
      </c>
      <c r="AI697" s="342">
        <v>0</v>
      </c>
      <c r="AJ697" s="344">
        <f t="shared" si="116"/>
        <v>0</v>
      </c>
      <c r="AK697" s="342">
        <v>-83.91</v>
      </c>
      <c r="AL697" s="784">
        <f t="shared" si="117"/>
        <v>1</v>
      </c>
      <c r="AM697" s="350">
        <v>0</v>
      </c>
      <c r="AN697" s="350">
        <v>0</v>
      </c>
      <c r="AO697" s="350">
        <v>0</v>
      </c>
      <c r="AP697" s="639">
        <f t="shared" si="118"/>
        <v>0</v>
      </c>
    </row>
    <row r="698" spans="1:42" x14ac:dyDescent="0.2">
      <c r="A698" s="638">
        <v>42794</v>
      </c>
      <c r="B698" s="341" t="s">
        <v>137</v>
      </c>
      <c r="C698" s="351" t="s">
        <v>206</v>
      </c>
      <c r="D698" s="342">
        <v>172273.30000520701</v>
      </c>
      <c r="E698" s="342">
        <v>9774</v>
      </c>
      <c r="F698" s="342">
        <v>162499.30000520701</v>
      </c>
      <c r="G698" s="342">
        <v>122265.86014556899</v>
      </c>
      <c r="H698" s="342">
        <v>55206.000057697303</v>
      </c>
      <c r="I698" s="342">
        <v>67059.860087871595</v>
      </c>
      <c r="J698" s="342">
        <v>21063.290012478799</v>
      </c>
      <c r="K698" s="343">
        <f t="shared" si="123"/>
        <v>101202.57013309011</v>
      </c>
      <c r="L698" s="342">
        <v>67204.810027618005</v>
      </c>
      <c r="M698" s="342">
        <v>3225.9300184249901</v>
      </c>
      <c r="N698" s="354">
        <v>767</v>
      </c>
      <c r="O698" s="343">
        <f t="shared" si="127"/>
        <v>224.60664928970928</v>
      </c>
      <c r="P698" s="343">
        <f t="shared" si="109"/>
        <v>132.78039108104826</v>
      </c>
      <c r="Q698" s="343">
        <f t="shared" si="110"/>
        <v>159.40790110243665</v>
      </c>
      <c r="R698" s="344">
        <f t="shared" si="111"/>
        <v>0.70972031151590742</v>
      </c>
      <c r="S698" s="344">
        <f t="shared" si="112"/>
        <v>1.5135796625330369</v>
      </c>
      <c r="T698" s="343">
        <f t="shared" si="113"/>
        <v>155049.1</v>
      </c>
      <c r="U698" s="342">
        <v>126294.91</v>
      </c>
      <c r="V698" s="342">
        <v>9028.36</v>
      </c>
      <c r="W698" s="344">
        <f t="shared" si="119"/>
        <v>7.1486333059661705E-2</v>
      </c>
      <c r="X698" s="342">
        <v>3677.85</v>
      </c>
      <c r="Y698" s="344">
        <f t="shared" si="120"/>
        <v>2.9121126100806437E-2</v>
      </c>
      <c r="Z698" s="342">
        <v>3294.19</v>
      </c>
      <c r="AA698" s="344">
        <f t="shared" si="121"/>
        <v>2.6083315630059833E-2</v>
      </c>
      <c r="AB698" s="342">
        <v>8631.17</v>
      </c>
      <c r="AC698" s="344">
        <f t="shared" si="122"/>
        <v>6.8341392380738067E-2</v>
      </c>
      <c r="AD698" s="342">
        <v>28754.190000000002</v>
      </c>
      <c r="AE698" s="342">
        <v>1996.48</v>
      </c>
      <c r="AF698" s="344">
        <f t="shared" si="114"/>
        <v>6.9432663552685708E-2</v>
      </c>
      <c r="AG698" s="342">
        <v>2970.79</v>
      </c>
      <c r="AH698" s="344">
        <f t="shared" si="115"/>
        <v>0.10331676879091359</v>
      </c>
      <c r="AI698" s="342">
        <v>2541.2399999999998</v>
      </c>
      <c r="AJ698" s="344">
        <f t="shared" si="116"/>
        <v>8.8378076377738327E-2</v>
      </c>
      <c r="AK698" s="342">
        <v>9840.4699999999993</v>
      </c>
      <c r="AL698" s="784">
        <f t="shared" si="117"/>
        <v>0.34222734147614653</v>
      </c>
      <c r="AM698" s="350">
        <f>IFERROR(T698/(D698+D633+D583)*90,"0.00")</f>
        <v>26.060422769070001</v>
      </c>
      <c r="AN698" s="350">
        <f>IFERROR(U698/(F698+F633+F583)*90,"0.00")</f>
        <v>22.432221498349527</v>
      </c>
      <c r="AO698" s="350">
        <f>IFERROR(AD698/(E698+E633+E583)*90,"0.00")</f>
        <v>89.988076361360328</v>
      </c>
      <c r="AP698" s="639">
        <f t="shared" si="118"/>
        <v>0.20682207930480717</v>
      </c>
    </row>
    <row r="699" spans="1:42" x14ac:dyDescent="0.2">
      <c r="A699" s="638">
        <v>42794</v>
      </c>
      <c r="B699" s="341" t="s">
        <v>137</v>
      </c>
      <c r="C699" s="351" t="s">
        <v>208</v>
      </c>
      <c r="D699" s="342">
        <v>159841.5900004</v>
      </c>
      <c r="E699" s="342">
        <v>5043</v>
      </c>
      <c r="F699" s="342">
        <v>154798.5900004</v>
      </c>
      <c r="G699" s="342">
        <v>91054.609934696899</v>
      </c>
      <c r="H699" s="342">
        <v>47846.7699017618</v>
      </c>
      <c r="I699" s="342">
        <v>43207.840032935099</v>
      </c>
      <c r="J699" s="342">
        <v>6074.9000005722</v>
      </c>
      <c r="K699" s="343">
        <f t="shared" si="123"/>
        <v>84979.709934124694</v>
      </c>
      <c r="L699" s="342">
        <v>56133.240114212</v>
      </c>
      <c r="M699" s="342">
        <v>4002.6799879074101</v>
      </c>
      <c r="N699" s="354">
        <v>776</v>
      </c>
      <c r="O699" s="343">
        <f t="shared" si="127"/>
        <v>205.9814304128866</v>
      </c>
      <c r="P699" s="343">
        <f t="shared" ref="P699:P741" si="128">IFERROR((E699+F699-L699-M699)/N699,"$0.00")</f>
        <v>128.48668801324817</v>
      </c>
      <c r="Q699" s="343">
        <f t="shared" ref="Q699:Q741" si="129">IFERROR((H699+I699)/N699,"$0.00")</f>
        <v>117.33841486430013</v>
      </c>
      <c r="R699" s="344">
        <f t="shared" ref="R699:R741" si="130">IFERROR((H699+I699)/(E699+F699),"0.00%")</f>
        <v>0.56965530644727091</v>
      </c>
      <c r="S699" s="344">
        <f t="shared" ref="S699:S741" si="131">IFERROR((H699+I699)/(F699+E699-L699-M699-J699),"0.00%")</f>
        <v>0.97248596838597035</v>
      </c>
      <c r="T699" s="343">
        <f t="shared" ref="T699:T741" si="132">+U699+AD699</f>
        <v>129590.24999999999</v>
      </c>
      <c r="U699" s="342">
        <v>96849.639999999985</v>
      </c>
      <c r="V699" s="342">
        <v>3016.56</v>
      </c>
      <c r="W699" s="344">
        <f t="shared" si="119"/>
        <v>3.1146837510185897E-2</v>
      </c>
      <c r="X699" s="342">
        <v>339.51</v>
      </c>
      <c r="Y699" s="344">
        <f t="shared" si="120"/>
        <v>3.5055370365857843E-3</v>
      </c>
      <c r="Z699" s="342">
        <v>1694.42</v>
      </c>
      <c r="AA699" s="344">
        <f t="shared" si="121"/>
        <v>1.7495367045246634E-2</v>
      </c>
      <c r="AB699" s="342">
        <v>3904.72</v>
      </c>
      <c r="AC699" s="344">
        <f t="shared" si="122"/>
        <v>4.0317341396416143E-2</v>
      </c>
      <c r="AD699" s="342">
        <v>32740.61</v>
      </c>
      <c r="AE699" s="342">
        <v>2867.38</v>
      </c>
      <c r="AF699" s="344">
        <f t="shared" si="114"/>
        <v>8.7578698136656585E-2</v>
      </c>
      <c r="AG699" s="342">
        <v>2509.7600000000002</v>
      </c>
      <c r="AH699" s="344">
        <f t="shared" si="115"/>
        <v>7.6655871714057869E-2</v>
      </c>
      <c r="AI699" s="342">
        <v>3403.28</v>
      </c>
      <c r="AJ699" s="344">
        <f t="shared" si="116"/>
        <v>0.10394674992310773</v>
      </c>
      <c r="AK699" s="342">
        <v>15710.57</v>
      </c>
      <c r="AL699" s="784">
        <f t="shared" si="117"/>
        <v>0.47984964238601541</v>
      </c>
      <c r="AM699" s="350">
        <f>IFERROR(T699/(D699+D637+D584)*90,"0.00")</f>
        <v>25.546439008295476</v>
      </c>
      <c r="AN699" s="350">
        <f>IFERROR(U699/(F699+F637+F584)*90,"0.00")</f>
        <v>19.973943605136313</v>
      </c>
      <c r="AO699" s="350">
        <f>IFERROR(AD699/(E699+E637+E584)*90,"0.00")</f>
        <v>146.20695147365288</v>
      </c>
      <c r="AP699" s="639">
        <f t="shared" si="118"/>
        <v>6.0928330422630871E-2</v>
      </c>
    </row>
    <row r="700" spans="1:42" x14ac:dyDescent="0.2">
      <c r="A700" s="638">
        <v>42822</v>
      </c>
      <c r="B700" s="807" t="s">
        <v>133</v>
      </c>
      <c r="C700" s="808" t="s">
        <v>162</v>
      </c>
      <c r="D700" s="807">
        <v>172534.720010163</v>
      </c>
      <c r="E700" s="807">
        <v>10415</v>
      </c>
      <c r="F700" s="807">
        <v>162119.720010163</v>
      </c>
      <c r="G700" s="807">
        <v>113244.26016593</v>
      </c>
      <c r="H700" s="807">
        <v>61961.8800965548</v>
      </c>
      <c r="I700" s="807">
        <v>51282.380069375002</v>
      </c>
      <c r="J700" s="807">
        <v>5145.5500216484097</v>
      </c>
      <c r="K700" s="343">
        <f t="shared" si="123"/>
        <v>108098.71014428139</v>
      </c>
      <c r="L700" s="807">
        <v>73933.169924011498</v>
      </c>
      <c r="M700" s="807">
        <v>3834.2700077295299</v>
      </c>
      <c r="N700" s="809">
        <v>883</v>
      </c>
      <c r="O700" s="343">
        <f t="shared" si="127"/>
        <v>195.39605890165686</v>
      </c>
      <c r="P700" s="343">
        <f t="shared" si="128"/>
        <v>107.32421299934538</v>
      </c>
      <c r="Q700" s="343">
        <f t="shared" si="129"/>
        <v>128.24944526152865</v>
      </c>
      <c r="R700" s="344">
        <f t="shared" si="130"/>
        <v>0.65635635632792777</v>
      </c>
      <c r="S700" s="344">
        <f t="shared" si="131"/>
        <v>1.2635803849601188</v>
      </c>
      <c r="T700" s="343">
        <f t="shared" si="132"/>
        <v>129483.41999999998</v>
      </c>
      <c r="U700" s="807">
        <v>92297.779999999984</v>
      </c>
      <c r="V700" s="807">
        <v>5161.54</v>
      </c>
      <c r="W700" s="810">
        <f t="shared" si="119"/>
        <v>5.5922688498033224E-2</v>
      </c>
      <c r="X700" s="807">
        <v>436.37</v>
      </c>
      <c r="Y700" s="810">
        <f t="shared" si="120"/>
        <v>4.727849358890323E-3</v>
      </c>
      <c r="Z700" s="807">
        <v>1907.12</v>
      </c>
      <c r="AA700" s="810">
        <f t="shared" si="121"/>
        <v>2.066268549471071E-2</v>
      </c>
      <c r="AB700" s="807">
        <v>1726.33</v>
      </c>
      <c r="AC700" s="810">
        <f t="shared" si="122"/>
        <v>1.8703916822268102E-2</v>
      </c>
      <c r="AD700" s="807">
        <v>37185.64</v>
      </c>
      <c r="AE700" s="807">
        <v>2446.6799999999998</v>
      </c>
      <c r="AF700" s="810">
        <f t="shared" si="114"/>
        <v>6.5796366554401103E-2</v>
      </c>
      <c r="AG700" s="807">
        <v>3823.1</v>
      </c>
      <c r="AH700" s="810">
        <f t="shared" si="115"/>
        <v>0.10281119270772265</v>
      </c>
      <c r="AI700" s="807">
        <v>3191.23</v>
      </c>
      <c r="AJ700" s="810">
        <f t="shared" si="116"/>
        <v>8.5818880621659335E-2</v>
      </c>
      <c r="AK700" s="807">
        <v>11692.75</v>
      </c>
      <c r="AL700" s="810">
        <f t="shared" si="117"/>
        <v>0.31444261817196101</v>
      </c>
      <c r="AM700" s="350">
        <f>IFERROR(T700/(D700+D651+D601)*90,"0.00")</f>
        <v>20.514071532372398</v>
      </c>
      <c r="AN700" s="350">
        <f>IFERROR(U700/(F700+F651+F601)*90,"0.00")</f>
        <v>15.458916424638907</v>
      </c>
      <c r="AO700" s="350">
        <f>IFERROR(AD700/(E700+E651+E601)*90,"0.00")</f>
        <v>108.91748624987795</v>
      </c>
      <c r="AP700" s="811">
        <f t="shared" si="118"/>
        <v>5.4296694147920634E-2</v>
      </c>
    </row>
    <row r="701" spans="1:42" x14ac:dyDescent="0.2">
      <c r="A701" s="638">
        <v>42822</v>
      </c>
      <c r="B701" s="807" t="s">
        <v>133</v>
      </c>
      <c r="C701" s="808" t="s">
        <v>164</v>
      </c>
      <c r="D701" s="807">
        <v>223504.54000644601</v>
      </c>
      <c r="E701" s="807">
        <v>17199.7899999619</v>
      </c>
      <c r="F701" s="807">
        <v>206304.75000648401</v>
      </c>
      <c r="G701" s="807">
        <v>149800.77019056701</v>
      </c>
      <c r="H701" s="807">
        <v>77231.060072749897</v>
      </c>
      <c r="I701" s="807">
        <v>72569.710117816896</v>
      </c>
      <c r="J701" s="807">
        <v>6995.3800022602099</v>
      </c>
      <c r="K701" s="343">
        <f t="shared" si="123"/>
        <v>142805.39018830657</v>
      </c>
      <c r="L701" s="807">
        <v>91741.529971767202</v>
      </c>
      <c r="M701" s="807">
        <v>3790.0299910306899</v>
      </c>
      <c r="N701" s="809">
        <v>1016</v>
      </c>
      <c r="O701" s="343">
        <f t="shared" si="127"/>
        <v>219.98478347091134</v>
      </c>
      <c r="P701" s="343">
        <f t="shared" si="128"/>
        <v>125.95765752327563</v>
      </c>
      <c r="Q701" s="343">
        <f t="shared" si="129"/>
        <v>147.44170294347123</v>
      </c>
      <c r="R701" s="344">
        <f t="shared" si="130"/>
        <v>0.67023591639904267</v>
      </c>
      <c r="S701" s="344">
        <f t="shared" si="131"/>
        <v>1.2382521238586168</v>
      </c>
      <c r="T701" s="343">
        <f t="shared" si="132"/>
        <v>171469.16999999998</v>
      </c>
      <c r="U701" s="807">
        <v>126507.64</v>
      </c>
      <c r="V701" s="807">
        <v>3496.3</v>
      </c>
      <c r="W701" s="810">
        <f t="shared" si="119"/>
        <v>2.7637066030162291E-2</v>
      </c>
      <c r="X701" s="807">
        <v>2235.4699999999998</v>
      </c>
      <c r="Y701" s="810">
        <f t="shared" si="120"/>
        <v>1.7670632382360461E-2</v>
      </c>
      <c r="Z701" s="807">
        <v>3716</v>
      </c>
      <c r="AA701" s="810">
        <f t="shared" si="121"/>
        <v>2.9373720037777957E-2</v>
      </c>
      <c r="AB701" s="807">
        <v>8713.4500000000007</v>
      </c>
      <c r="AC701" s="810">
        <f t="shared" si="122"/>
        <v>6.8876867831855856E-2</v>
      </c>
      <c r="AD701" s="807">
        <v>44961.53</v>
      </c>
      <c r="AE701" s="807">
        <v>4603.37</v>
      </c>
      <c r="AF701" s="810">
        <f t="shared" si="114"/>
        <v>0.10238463860104405</v>
      </c>
      <c r="AG701" s="807">
        <v>3127.64</v>
      </c>
      <c r="AH701" s="810">
        <f t="shared" si="115"/>
        <v>6.9562579387311779E-2</v>
      </c>
      <c r="AI701" s="807">
        <v>3595.89</v>
      </c>
      <c r="AJ701" s="810">
        <f t="shared" si="116"/>
        <v>7.9977038147945587E-2</v>
      </c>
      <c r="AK701" s="807">
        <v>14645.71</v>
      </c>
      <c r="AL701" s="810">
        <f t="shared" si="117"/>
        <v>0.32573869261121674</v>
      </c>
      <c r="AM701" s="350">
        <f>IFERROR(T701/(D701+D652+D602)*90,"0.00")</f>
        <v>23.36325088713032</v>
      </c>
      <c r="AN701" s="350">
        <f>IFERROR(U701/(F701+F652+F602)*90,"0.00")</f>
        <v>18.78347853811167</v>
      </c>
      <c r="AO701" s="350">
        <f>IFERROR(AD701/(E701+E652+E602)*90,"0.00")</f>
        <v>74.412528992900405</v>
      </c>
      <c r="AP701" s="811">
        <f t="shared" si="118"/>
        <v>5.466294525511773E-2</v>
      </c>
    </row>
    <row r="702" spans="1:42" x14ac:dyDescent="0.2">
      <c r="A702" s="638">
        <v>42822</v>
      </c>
      <c r="B702" s="807" t="s">
        <v>133</v>
      </c>
      <c r="C702" s="808" t="s">
        <v>317</v>
      </c>
      <c r="D702" s="807">
        <v>159625.58000637</v>
      </c>
      <c r="E702" s="807">
        <v>9282</v>
      </c>
      <c r="F702" s="807">
        <v>150343.58000637</v>
      </c>
      <c r="G702" s="807">
        <v>93409.240006923705</v>
      </c>
      <c r="H702" s="807">
        <v>49213.359943866701</v>
      </c>
      <c r="I702" s="807">
        <v>44195.880063056902</v>
      </c>
      <c r="J702" s="807">
        <v>2210.45000982285</v>
      </c>
      <c r="K702" s="343">
        <f t="shared" si="123"/>
        <v>91198.789997100757</v>
      </c>
      <c r="L702" s="807">
        <v>62882.640022277803</v>
      </c>
      <c r="M702" s="807">
        <v>20</v>
      </c>
      <c r="N702" s="809">
        <v>655</v>
      </c>
      <c r="O702" s="343">
        <f t="shared" si="127"/>
        <v>243.70317558224428</v>
      </c>
      <c r="P702" s="343">
        <f t="shared" si="128"/>
        <v>147.66861066273617</v>
      </c>
      <c r="Q702" s="343">
        <f t="shared" si="129"/>
        <v>142.60952672812763</v>
      </c>
      <c r="R702" s="344">
        <f t="shared" si="130"/>
        <v>0.58517713766926338</v>
      </c>
      <c r="S702" s="344">
        <f t="shared" si="131"/>
        <v>0.98832693998807875</v>
      </c>
      <c r="T702" s="343">
        <f t="shared" si="132"/>
        <v>92198</v>
      </c>
      <c r="U702" s="807">
        <v>77414.19</v>
      </c>
      <c r="V702" s="807">
        <v>0</v>
      </c>
      <c r="W702" s="810">
        <f t="shared" si="119"/>
        <v>0</v>
      </c>
      <c r="X702" s="807">
        <v>0</v>
      </c>
      <c r="Y702" s="810">
        <f t="shared" si="120"/>
        <v>0</v>
      </c>
      <c r="Z702" s="807">
        <v>0</v>
      </c>
      <c r="AA702" s="810">
        <f t="shared" si="121"/>
        <v>0</v>
      </c>
      <c r="AB702" s="807">
        <v>0</v>
      </c>
      <c r="AC702" s="810">
        <f t="shared" si="122"/>
        <v>0</v>
      </c>
      <c r="AD702" s="807">
        <v>14783.810000000001</v>
      </c>
      <c r="AE702" s="807">
        <v>0</v>
      </c>
      <c r="AF702" s="810">
        <f t="shared" si="114"/>
        <v>0</v>
      </c>
      <c r="AG702" s="807">
        <v>0</v>
      </c>
      <c r="AH702" s="810">
        <f t="shared" si="115"/>
        <v>0</v>
      </c>
      <c r="AI702" s="807">
        <v>0</v>
      </c>
      <c r="AJ702" s="810">
        <f t="shared" si="116"/>
        <v>0</v>
      </c>
      <c r="AK702" s="807">
        <v>0</v>
      </c>
      <c r="AL702" s="810">
        <f t="shared" si="117"/>
        <v>0</v>
      </c>
      <c r="AM702" s="350">
        <f>IFERROR(T702/(D702+D653+D603)*90,"0.00")</f>
        <v>22.047078733964739</v>
      </c>
      <c r="AN702" s="350">
        <f>IFERROR(U702/(F702+F653+F603)*90,"0.00")</f>
        <v>19.842769323540136</v>
      </c>
      <c r="AO702" s="350">
        <f>IFERROR(AD702/(E702+E653+E603)*90,"0.00")</f>
        <v>52.707292822056729</v>
      </c>
      <c r="AP702" s="811">
        <f t="shared" si="118"/>
        <v>2.2853420400438591E-2</v>
      </c>
    </row>
    <row r="703" spans="1:42" x14ac:dyDescent="0.2">
      <c r="A703" s="638">
        <v>42822</v>
      </c>
      <c r="B703" s="807" t="s">
        <v>133</v>
      </c>
      <c r="C703" s="808" t="s">
        <v>166</v>
      </c>
      <c r="D703" s="807">
        <v>306539.05001443397</v>
      </c>
      <c r="E703" s="807">
        <v>16141</v>
      </c>
      <c r="F703" s="807">
        <v>290398.05001443397</v>
      </c>
      <c r="G703" s="807">
        <v>207729.80995493001</v>
      </c>
      <c r="H703" s="807">
        <v>113382.37982969399</v>
      </c>
      <c r="I703" s="807">
        <v>94347.430125236497</v>
      </c>
      <c r="J703" s="807">
        <v>10829.249968648001</v>
      </c>
      <c r="K703" s="343">
        <f t="shared" si="123"/>
        <v>196900.55998628249</v>
      </c>
      <c r="L703" s="807">
        <v>129092.960160455</v>
      </c>
      <c r="M703" s="807">
        <v>10924.0199712515</v>
      </c>
      <c r="N703" s="809">
        <v>1333</v>
      </c>
      <c r="O703" s="343">
        <f t="shared" si="127"/>
        <v>229.96177795531432</v>
      </c>
      <c r="P703" s="343">
        <f t="shared" si="128"/>
        <v>124.92278310782257</v>
      </c>
      <c r="Q703" s="343">
        <f t="shared" si="129"/>
        <v>155.8363165453342</v>
      </c>
      <c r="R703" s="344">
        <f t="shared" si="130"/>
        <v>0.67766181811142545</v>
      </c>
      <c r="S703" s="344">
        <f t="shared" si="131"/>
        <v>1.3342285795168209</v>
      </c>
      <c r="T703" s="343">
        <f t="shared" si="132"/>
        <v>264354.34999999998</v>
      </c>
      <c r="U703" s="807">
        <v>198249.79</v>
      </c>
      <c r="V703" s="807">
        <v>10690.33</v>
      </c>
      <c r="W703" s="810">
        <f t="shared" si="119"/>
        <v>5.3923537573482422E-2</v>
      </c>
      <c r="X703" s="807">
        <v>6805.77</v>
      </c>
      <c r="Y703" s="810">
        <f t="shared" si="120"/>
        <v>3.4329267133145512E-2</v>
      </c>
      <c r="Z703" s="807">
        <v>2344.1999999999998</v>
      </c>
      <c r="AA703" s="810">
        <f t="shared" si="121"/>
        <v>1.1824476585826395E-2</v>
      </c>
      <c r="AB703" s="807">
        <v>12467.57</v>
      </c>
      <c r="AC703" s="810">
        <f t="shared" si="122"/>
        <v>6.2888187674751128E-2</v>
      </c>
      <c r="AD703" s="807">
        <v>66104.56</v>
      </c>
      <c r="AE703" s="807">
        <v>7305.64</v>
      </c>
      <c r="AF703" s="810">
        <f t="shared" si="114"/>
        <v>0.1105164303340042</v>
      </c>
      <c r="AG703" s="807">
        <v>5356.72</v>
      </c>
      <c r="AH703" s="810">
        <f t="shared" si="115"/>
        <v>8.103404666788494E-2</v>
      </c>
      <c r="AI703" s="807">
        <v>3739.57</v>
      </c>
      <c r="AJ703" s="810">
        <f t="shared" si="116"/>
        <v>5.6570530081434631E-2</v>
      </c>
      <c r="AK703" s="807">
        <v>20350.330000000002</v>
      </c>
      <c r="AL703" s="810">
        <f t="shared" si="117"/>
        <v>0.30785062331554741</v>
      </c>
      <c r="AM703" s="350">
        <f>IFERROR(T703/(D703+D655+D605)*90,"0.00")</f>
        <v>23.183998932942611</v>
      </c>
      <c r="AN703" s="350">
        <f>IFERROR(U703/(F703+F655+F605)*90,"0.00")</f>
        <v>18.510173603144064</v>
      </c>
      <c r="AO703" s="350">
        <f>IFERROR(AD703/(E703+E655+E605)*90,"0.00")</f>
        <v>95.508418416490073</v>
      </c>
      <c r="AP703" s="811">
        <f t="shared" si="118"/>
        <v>6.5031920251018116E-2</v>
      </c>
    </row>
    <row r="704" spans="1:42" x14ac:dyDescent="0.2">
      <c r="A704" s="638">
        <v>42822</v>
      </c>
      <c r="B704" s="807" t="s">
        <v>133</v>
      </c>
      <c r="C704" s="808" t="s">
        <v>169</v>
      </c>
      <c r="D704" s="807">
        <v>269525.93001510599</v>
      </c>
      <c r="E704" s="807">
        <v>13274</v>
      </c>
      <c r="F704" s="807">
        <v>256251.93001510599</v>
      </c>
      <c r="G704" s="807">
        <v>162984.43020202601</v>
      </c>
      <c r="H704" s="807">
        <v>92452.600096840397</v>
      </c>
      <c r="I704" s="807">
        <v>70531.830105185494</v>
      </c>
      <c r="J704" s="807">
        <v>5328.3399842977497</v>
      </c>
      <c r="K704" s="343">
        <f t="shared" si="123"/>
        <v>157656.09021772814</v>
      </c>
      <c r="L704" s="807">
        <v>108610.149855105</v>
      </c>
      <c r="M704" s="807">
        <v>7468.7400129120797</v>
      </c>
      <c r="N704" s="809">
        <v>1177</v>
      </c>
      <c r="O704" s="343">
        <f t="shared" si="127"/>
        <v>228.99399321589294</v>
      </c>
      <c r="P704" s="343">
        <f t="shared" si="128"/>
        <v>130.37131703236102</v>
      </c>
      <c r="Q704" s="343">
        <f t="shared" si="129"/>
        <v>138.4744521682463</v>
      </c>
      <c r="R704" s="344">
        <f t="shared" si="130"/>
        <v>0.60470779265242192</v>
      </c>
      <c r="S704" s="344">
        <f t="shared" si="131"/>
        <v>1.1003636274345943</v>
      </c>
      <c r="T704" s="343">
        <f t="shared" si="132"/>
        <v>228071.75</v>
      </c>
      <c r="U704" s="807">
        <v>181613.46</v>
      </c>
      <c r="V704" s="807">
        <v>7438.25</v>
      </c>
      <c r="W704" s="810">
        <f t="shared" si="119"/>
        <v>4.0956490779923471E-2</v>
      </c>
      <c r="X704" s="807">
        <v>3613.88</v>
      </c>
      <c r="Y704" s="810">
        <f t="shared" si="120"/>
        <v>1.989874539034717E-2</v>
      </c>
      <c r="Z704" s="807">
        <v>2926.43</v>
      </c>
      <c r="AA704" s="810">
        <f t="shared" si="121"/>
        <v>1.6113508326970918E-2</v>
      </c>
      <c r="AB704" s="807">
        <v>12200.79</v>
      </c>
      <c r="AC704" s="810">
        <f t="shared" si="122"/>
        <v>6.7179987650695064E-2</v>
      </c>
      <c r="AD704" s="807">
        <v>46458.289999999994</v>
      </c>
      <c r="AE704" s="807">
        <v>3550.53</v>
      </c>
      <c r="AF704" s="810">
        <f t="shared" si="114"/>
        <v>7.6424035408965779E-2</v>
      </c>
      <c r="AG704" s="807">
        <v>2885.31</v>
      </c>
      <c r="AH704" s="810">
        <f t="shared" si="115"/>
        <v>6.2105385282153099E-2</v>
      </c>
      <c r="AI704" s="807">
        <v>4225.6400000000003</v>
      </c>
      <c r="AJ704" s="810">
        <f t="shared" si="116"/>
        <v>9.095556465810517E-2</v>
      </c>
      <c r="AK704" s="807">
        <v>15880.05</v>
      </c>
      <c r="AL704" s="810">
        <f t="shared" si="117"/>
        <v>0.34181305424715375</v>
      </c>
      <c r="AM704" s="350">
        <f>IFERROR(T704/(D704+D658+D608)*90,"0.00")</f>
        <v>25.542243864185586</v>
      </c>
      <c r="AN704" s="350">
        <f>IFERROR(U704/(F704+F658+F608)*90,"0.00")</f>
        <v>21.521899496055845</v>
      </c>
      <c r="AO704" s="350">
        <f>IFERROR(AD704/(E704+E658+E608)*90,"0.00")</f>
        <v>94.686159106863826</v>
      </c>
      <c r="AP704" s="811">
        <f t="shared" si="118"/>
        <v>3.4724293014646558E-2</v>
      </c>
    </row>
    <row r="705" spans="1:42" x14ac:dyDescent="0.2">
      <c r="A705" s="638">
        <v>42822</v>
      </c>
      <c r="B705" s="807" t="s">
        <v>133</v>
      </c>
      <c r="C705" s="808" t="s">
        <v>171</v>
      </c>
      <c r="D705" s="807">
        <v>217701.010003356</v>
      </c>
      <c r="E705" s="807">
        <v>11251</v>
      </c>
      <c r="F705" s="807">
        <v>206450.010003356</v>
      </c>
      <c r="G705" s="807">
        <v>142074.18996655199</v>
      </c>
      <c r="H705" s="807">
        <v>83565.629896335304</v>
      </c>
      <c r="I705" s="807">
        <v>58508.560070216699</v>
      </c>
      <c r="J705" s="807">
        <v>5662.9100053310403</v>
      </c>
      <c r="K705" s="343">
        <f t="shared" si="123"/>
        <v>136411.27996122098</v>
      </c>
      <c r="L705" s="807">
        <v>90809.090052109197</v>
      </c>
      <c r="M705" s="807">
        <v>7489.9300025105504</v>
      </c>
      <c r="N705" s="809">
        <v>1066</v>
      </c>
      <c r="O705" s="343">
        <f t="shared" si="127"/>
        <v>204.22233583804504</v>
      </c>
      <c r="P705" s="343">
        <f t="shared" si="128"/>
        <v>112.00937143408655</v>
      </c>
      <c r="Q705" s="343">
        <f t="shared" si="129"/>
        <v>133.27785175098688</v>
      </c>
      <c r="R705" s="344">
        <f t="shared" si="130"/>
        <v>0.65261153342541611</v>
      </c>
      <c r="S705" s="344">
        <f t="shared" si="131"/>
        <v>1.2491237843426015</v>
      </c>
      <c r="T705" s="343">
        <f t="shared" si="132"/>
        <v>244166.95</v>
      </c>
      <c r="U705" s="807">
        <v>184628.76</v>
      </c>
      <c r="V705" s="807">
        <v>14656.72</v>
      </c>
      <c r="W705" s="810">
        <f t="shared" si="119"/>
        <v>7.9384815236802755E-2</v>
      </c>
      <c r="X705" s="807">
        <v>11533</v>
      </c>
      <c r="Y705" s="810">
        <f t="shared" si="120"/>
        <v>6.2465891012862783E-2</v>
      </c>
      <c r="Z705" s="807">
        <v>4821</v>
      </c>
      <c r="AA705" s="810">
        <f t="shared" si="121"/>
        <v>2.6111858195873708E-2</v>
      </c>
      <c r="AB705" s="807">
        <v>11226.22</v>
      </c>
      <c r="AC705" s="810">
        <f t="shared" si="122"/>
        <v>6.0804286396117263E-2</v>
      </c>
      <c r="AD705" s="807">
        <v>59538.19</v>
      </c>
      <c r="AE705" s="807">
        <v>2664.01</v>
      </c>
      <c r="AF705" s="810">
        <f t="shared" si="114"/>
        <v>4.4744558072726093E-2</v>
      </c>
      <c r="AG705" s="807">
        <v>2720.58</v>
      </c>
      <c r="AH705" s="810">
        <f t="shared" si="115"/>
        <v>4.569470452494441E-2</v>
      </c>
      <c r="AI705" s="807">
        <v>5256.8</v>
      </c>
      <c r="AJ705" s="810">
        <f t="shared" si="116"/>
        <v>8.8292909139495168E-2</v>
      </c>
      <c r="AK705" s="807">
        <v>28211.58</v>
      </c>
      <c r="AL705" s="810">
        <f t="shared" si="117"/>
        <v>0.47384006803028444</v>
      </c>
      <c r="AM705" s="350">
        <f>IFERROR(T705/(D705+D659+D634)*90,"0.00")</f>
        <v>32.071951627935263</v>
      </c>
      <c r="AN705" s="350">
        <f>IFERROR(U705/(F705+F659+F634)*90,"0.00")</f>
        <v>25.518522671688544</v>
      </c>
      <c r="AO705" s="350">
        <f>IFERROR(AD705/(E705+E659+E634)*90,"0.00")</f>
        <v>157.50380941183388</v>
      </c>
      <c r="AP705" s="811">
        <f t="shared" si="118"/>
        <v>4.7427266561992303E-2</v>
      </c>
    </row>
    <row r="706" spans="1:42" x14ac:dyDescent="0.2">
      <c r="A706" s="638">
        <v>42822</v>
      </c>
      <c r="B706" s="807" t="s">
        <v>133</v>
      </c>
      <c r="C706" s="808" t="s">
        <v>173</v>
      </c>
      <c r="D706" s="807">
        <v>258076.82000226501</v>
      </c>
      <c r="E706" s="807">
        <v>21675.5</v>
      </c>
      <c r="F706" s="807">
        <v>236401.32000226501</v>
      </c>
      <c r="G706" s="807">
        <v>169813.82026028601</v>
      </c>
      <c r="H706" s="807">
        <v>95173.930122494698</v>
      </c>
      <c r="I706" s="807">
        <v>74639.890137791605</v>
      </c>
      <c r="J706" s="807">
        <v>6460.0700149536096</v>
      </c>
      <c r="K706" s="343">
        <f t="shared" si="123"/>
        <v>163353.75024533269</v>
      </c>
      <c r="L706" s="807">
        <v>105209.650015263</v>
      </c>
      <c r="M706" s="807">
        <v>7715.5199970602998</v>
      </c>
      <c r="N706" s="809">
        <v>1250</v>
      </c>
      <c r="O706" s="343">
        <f t="shared" si="127"/>
        <v>206.461456001812</v>
      </c>
      <c r="P706" s="343">
        <f t="shared" si="128"/>
        <v>116.12131999195337</v>
      </c>
      <c r="Q706" s="343">
        <f t="shared" si="129"/>
        <v>135.85105620822904</v>
      </c>
      <c r="R706" s="344">
        <f t="shared" si="130"/>
        <v>0.65799718184219691</v>
      </c>
      <c r="S706" s="344">
        <f t="shared" si="131"/>
        <v>1.2243989165810272</v>
      </c>
      <c r="T706" s="343">
        <f t="shared" si="132"/>
        <v>256905.3</v>
      </c>
      <c r="U706" s="807">
        <v>196504.69999999998</v>
      </c>
      <c r="V706" s="807">
        <v>12804.57</v>
      </c>
      <c r="W706" s="810">
        <f t="shared" si="119"/>
        <v>6.5161647533112446E-2</v>
      </c>
      <c r="X706" s="807">
        <v>3663.72</v>
      </c>
      <c r="Y706" s="810">
        <f t="shared" si="120"/>
        <v>1.8644439547756363E-2</v>
      </c>
      <c r="Z706" s="807">
        <v>5999.53</v>
      </c>
      <c r="AA706" s="810">
        <f t="shared" si="121"/>
        <v>3.0531229024038611E-2</v>
      </c>
      <c r="AB706" s="807">
        <v>7905.21</v>
      </c>
      <c r="AC706" s="810">
        <f t="shared" si="122"/>
        <v>4.0229114112792216E-2</v>
      </c>
      <c r="AD706" s="807">
        <v>60400.600000000006</v>
      </c>
      <c r="AE706" s="807">
        <v>4815.2</v>
      </c>
      <c r="AF706" s="810">
        <f t="shared" ref="AF706:AF769" si="133">IFERROR(AE706/AD706,"0.00%")</f>
        <v>7.9721062373552573E-2</v>
      </c>
      <c r="AG706" s="807">
        <v>3567.59</v>
      </c>
      <c r="AH706" s="810">
        <f t="shared" ref="AH706:AH769" si="134">IFERROR(AG706/AD706,"0.00%")</f>
        <v>5.9065472859541127E-2</v>
      </c>
      <c r="AI706" s="807">
        <v>5376.62</v>
      </c>
      <c r="AJ706" s="810">
        <f t="shared" ref="AJ706:AJ769" si="135">IFERROR(AI706/AD706,"0.00"%)</f>
        <v>8.9016003152286555E-2</v>
      </c>
      <c r="AK706" s="807">
        <v>26228.799999999999</v>
      </c>
      <c r="AL706" s="810">
        <f t="shared" ref="AL706:AL769" si="136">IFERROR(AK706/AD706,"0.00%")</f>
        <v>0.43424734191382197</v>
      </c>
      <c r="AM706" s="350">
        <f>IFERROR(T706/(D706+D660+D636)*90,"0.00")</f>
        <v>28.704613620098083</v>
      </c>
      <c r="AN706" s="350">
        <f>IFERROR(U706/(F706+F660+F636)*90,"0.00")</f>
        <v>23.929662681280639</v>
      </c>
      <c r="AO706" s="350">
        <f>IFERROR(AD706/(E706+E660+E636)*90,"0.00")</f>
        <v>81.821100452812956</v>
      </c>
      <c r="AP706" s="811">
        <f t="shared" ref="AP706:AP741" si="137">IFERROR(J706/(D706-L706-M706),"0.00%")</f>
        <v>4.4505660220888019E-2</v>
      </c>
    </row>
    <row r="707" spans="1:42" x14ac:dyDescent="0.2">
      <c r="A707" s="638">
        <v>42822</v>
      </c>
      <c r="B707" s="807" t="s">
        <v>133</v>
      </c>
      <c r="C707" s="808" t="s">
        <v>174</v>
      </c>
      <c r="D707" s="807">
        <v>195812.69000554999</v>
      </c>
      <c r="E707" s="807">
        <v>11249</v>
      </c>
      <c r="F707" s="807">
        <v>184563.69000554999</v>
      </c>
      <c r="G707" s="807">
        <v>129777.590180099</v>
      </c>
      <c r="H707" s="807">
        <v>71581.230103313894</v>
      </c>
      <c r="I707" s="807">
        <v>58196.360076785102</v>
      </c>
      <c r="J707" s="807">
        <v>5027.6100052595102</v>
      </c>
      <c r="K707" s="343">
        <f t="shared" si="123"/>
        <v>124749.98017483948</v>
      </c>
      <c r="L707" s="807">
        <v>83447.959880828901</v>
      </c>
      <c r="M707" s="807">
        <v>5622.8299996256801</v>
      </c>
      <c r="N707" s="809">
        <v>839</v>
      </c>
      <c r="O707" s="343">
        <f t="shared" si="127"/>
        <v>233.38818832604289</v>
      </c>
      <c r="P707" s="343">
        <f t="shared" si="128"/>
        <v>127.22514913598975</v>
      </c>
      <c r="Q707" s="343">
        <f t="shared" si="129"/>
        <v>154.68127554243026</v>
      </c>
      <c r="R707" s="344">
        <f t="shared" si="130"/>
        <v>0.66276394127684302</v>
      </c>
      <c r="S707" s="344">
        <f t="shared" si="131"/>
        <v>1.2759032189793587</v>
      </c>
      <c r="T707" s="343">
        <f t="shared" si="132"/>
        <v>180753.64</v>
      </c>
      <c r="U707" s="807">
        <v>123916.52000000002</v>
      </c>
      <c r="V707" s="807">
        <v>5833.33</v>
      </c>
      <c r="W707" s="810">
        <f t="shared" ref="W707:W770" si="138">IFERROR(V707/U707,"0.00%")</f>
        <v>4.7074675757518038E-2</v>
      </c>
      <c r="X707" s="807">
        <v>3793</v>
      </c>
      <c r="Y707" s="810">
        <f t="shared" ref="Y707:Y770" si="139">IFERROR(X707/U707,"0.00%")</f>
        <v>3.0609316659312248E-2</v>
      </c>
      <c r="Z707" s="807">
        <v>3373.08</v>
      </c>
      <c r="AA707" s="810">
        <f t="shared" ref="AA707:AA770" si="140">IFERROR(Z707/U707,"0.00"%)</f>
        <v>2.722058366390534E-2</v>
      </c>
      <c r="AB707" s="807">
        <v>7342.52</v>
      </c>
      <c r="AC707" s="810">
        <f t="shared" ref="AC707:AC770" si="141">IFERROR(AB707/U707,"0.00%")</f>
        <v>5.9253762129536883E-2</v>
      </c>
      <c r="AD707" s="807">
        <v>56837.120000000003</v>
      </c>
      <c r="AE707" s="807">
        <v>5592.52</v>
      </c>
      <c r="AF707" s="810">
        <f t="shared" si="133"/>
        <v>9.8395555580578331E-2</v>
      </c>
      <c r="AG707" s="807">
        <v>4401.09</v>
      </c>
      <c r="AH707" s="810">
        <f t="shared" si="134"/>
        <v>7.7433374527069637E-2</v>
      </c>
      <c r="AI707" s="807">
        <v>6366.37</v>
      </c>
      <c r="AJ707" s="810">
        <f t="shared" si="135"/>
        <v>0.112010777463742</v>
      </c>
      <c r="AK707" s="807">
        <v>22958.03</v>
      </c>
      <c r="AL707" s="810">
        <f t="shared" si="136"/>
        <v>0.40392669438564088</v>
      </c>
      <c r="AM707" s="350">
        <f>IFERROR(T707/(D707+D661+D638)*90,"0.00")</f>
        <v>25.640785028605375</v>
      </c>
      <c r="AN707" s="350">
        <f>IFERROR(U707/(F707+F661+F638)*90,"0.00")</f>
        <v>18.475142053652732</v>
      </c>
      <c r="AO707" s="350">
        <f>IFERROR(AD707/(E707+E661+E638)*90,"0.00")</f>
        <v>166.0663182157582</v>
      </c>
      <c r="AP707" s="811">
        <f t="shared" si="137"/>
        <v>4.7100623085849502E-2</v>
      </c>
    </row>
    <row r="708" spans="1:42" x14ac:dyDescent="0.2">
      <c r="A708" s="638">
        <v>42822</v>
      </c>
      <c r="B708" s="807" t="s">
        <v>133</v>
      </c>
      <c r="C708" s="808" t="s">
        <v>177</v>
      </c>
      <c r="D708" s="807">
        <v>10</v>
      </c>
      <c r="E708" s="807">
        <v>0</v>
      </c>
      <c r="F708" s="807">
        <v>10</v>
      </c>
      <c r="G708" s="807">
        <v>13769.470005512199</v>
      </c>
      <c r="H708" s="807">
        <v>9747.5700011253393</v>
      </c>
      <c r="I708" s="807">
        <v>4021.9000043869</v>
      </c>
      <c r="J708" s="807">
        <v>4009.0899925231902</v>
      </c>
      <c r="K708" s="343">
        <f t="shared" si="123"/>
        <v>9760.3800129890496</v>
      </c>
      <c r="L708" s="807">
        <v>13936.8200189564</v>
      </c>
      <c r="M708" s="807">
        <v>3465.9799937754901</v>
      </c>
      <c r="N708" s="809">
        <v>1</v>
      </c>
      <c r="O708" s="343">
        <f t="shared" si="127"/>
        <v>10</v>
      </c>
      <c r="P708" s="343">
        <v>0</v>
      </c>
      <c r="Q708" s="343">
        <v>0</v>
      </c>
      <c r="R708" s="344">
        <v>0</v>
      </c>
      <c r="S708" s="344">
        <v>0</v>
      </c>
      <c r="T708" s="343">
        <f t="shared" si="132"/>
        <v>35901.119999999995</v>
      </c>
      <c r="U708" s="807">
        <v>15502.3</v>
      </c>
      <c r="V708" s="807">
        <v>978.29</v>
      </c>
      <c r="W708" s="810">
        <f t="shared" si="138"/>
        <v>6.3106119737071267E-2</v>
      </c>
      <c r="X708" s="807">
        <v>635.5</v>
      </c>
      <c r="Y708" s="810">
        <f t="shared" si="139"/>
        <v>4.0993917031666272E-2</v>
      </c>
      <c r="Z708" s="807">
        <v>1837.11</v>
      </c>
      <c r="AA708" s="810">
        <f t="shared" si="140"/>
        <v>0.11850564109841766</v>
      </c>
      <c r="AB708" s="807">
        <v>2995.55</v>
      </c>
      <c r="AC708" s="810">
        <f t="shared" si="141"/>
        <v>0.19323261709552778</v>
      </c>
      <c r="AD708" s="807">
        <v>20398.82</v>
      </c>
      <c r="AE708" s="807">
        <v>1014.42</v>
      </c>
      <c r="AF708" s="810">
        <f t="shared" si="133"/>
        <v>4.97293470896846E-2</v>
      </c>
      <c r="AG708" s="807">
        <v>2245.52</v>
      </c>
      <c r="AH708" s="810">
        <f t="shared" si="134"/>
        <v>0.11008087722721216</v>
      </c>
      <c r="AI708" s="807">
        <v>3808.57</v>
      </c>
      <c r="AJ708" s="810">
        <f t="shared" si="135"/>
        <v>0.18670540746964776</v>
      </c>
      <c r="AK708" s="807">
        <v>5000.2</v>
      </c>
      <c r="AL708" s="810">
        <f t="shared" si="136"/>
        <v>0.24512202176400399</v>
      </c>
      <c r="AM708" s="350">
        <f>IFERROR(T708/(D708+D663+D641)*90,"0.00")</f>
        <v>12.506211495407857</v>
      </c>
      <c r="AN708" s="350">
        <f>IFERROR(U708/(F708+F663+F641)*90,"0.00")</f>
        <v>5.7377513686901018</v>
      </c>
      <c r="AO708" s="350">
        <f>IFERROR(AD708/(E708+E663+E641)*90,"0.00")</f>
        <v>120.80633019674936</v>
      </c>
      <c r="AP708" s="811">
        <v>0</v>
      </c>
    </row>
    <row r="709" spans="1:42" x14ac:dyDescent="0.2">
      <c r="A709" s="638">
        <v>42822</v>
      </c>
      <c r="B709" s="807" t="s">
        <v>134</v>
      </c>
      <c r="C709" s="808" t="s">
        <v>178</v>
      </c>
      <c r="D709" s="807">
        <v>341172.02029729798</v>
      </c>
      <c r="E709" s="807">
        <v>13535</v>
      </c>
      <c r="F709" s="807">
        <v>327637.02029729798</v>
      </c>
      <c r="G709" s="807">
        <v>272484.28927200497</v>
      </c>
      <c r="H709" s="807">
        <v>178360.56919186699</v>
      </c>
      <c r="I709" s="807">
        <v>94123.720080137296</v>
      </c>
      <c r="J709" s="807">
        <v>20409.2000439763</v>
      </c>
      <c r="K709" s="343">
        <f t="shared" si="123"/>
        <v>252075.08922802797</v>
      </c>
      <c r="L709" s="807">
        <v>130209.350456122</v>
      </c>
      <c r="M709" s="807">
        <v>7871.6899934448302</v>
      </c>
      <c r="N709" s="809">
        <v>1549</v>
      </c>
      <c r="O709" s="343">
        <f t="shared" si="127"/>
        <v>220.25307959799741</v>
      </c>
      <c r="P709" s="343">
        <f t="shared" si="128"/>
        <v>131.11102637038806</v>
      </c>
      <c r="Q709" s="343">
        <f t="shared" si="129"/>
        <v>175.9098058566845</v>
      </c>
      <c r="R709" s="344">
        <f t="shared" si="130"/>
        <v>0.79867126569922386</v>
      </c>
      <c r="S709" s="344">
        <f t="shared" si="131"/>
        <v>1.4915789060338664</v>
      </c>
      <c r="T709" s="343">
        <f t="shared" si="132"/>
        <v>346682.15</v>
      </c>
      <c r="U709" s="807">
        <v>243877.9</v>
      </c>
      <c r="V709" s="807">
        <v>7208.97</v>
      </c>
      <c r="W709" s="810">
        <f t="shared" si="138"/>
        <v>2.9559751006548771E-2</v>
      </c>
      <c r="X709" s="807">
        <v>6792.93</v>
      </c>
      <c r="Y709" s="810">
        <f t="shared" si="139"/>
        <v>2.7853815372364615E-2</v>
      </c>
      <c r="Z709" s="807">
        <v>2995.85</v>
      </c>
      <c r="AA709" s="810">
        <f t="shared" si="140"/>
        <v>1.2284220915466305E-2</v>
      </c>
      <c r="AB709" s="807">
        <v>3429.21</v>
      </c>
      <c r="AC709" s="810">
        <f t="shared" si="141"/>
        <v>1.4061175694886663E-2</v>
      </c>
      <c r="AD709" s="807">
        <v>102804.25</v>
      </c>
      <c r="AE709" s="807">
        <v>8130.19</v>
      </c>
      <c r="AF709" s="810">
        <f t="shared" si="133"/>
        <v>7.9084181831004061E-2</v>
      </c>
      <c r="AG709" s="807">
        <v>8053.05</v>
      </c>
      <c r="AH709" s="810">
        <f t="shared" si="134"/>
        <v>7.8333823747559081E-2</v>
      </c>
      <c r="AI709" s="807">
        <v>6827.35</v>
      </c>
      <c r="AJ709" s="810">
        <f t="shared" si="135"/>
        <v>6.6411164908065576E-2</v>
      </c>
      <c r="AK709" s="807">
        <v>31823.7</v>
      </c>
      <c r="AL709" s="810">
        <f t="shared" si="136"/>
        <v>0.3095562683449371</v>
      </c>
      <c r="AM709" s="350">
        <f>IFERROR(T709/(D709+D664+D646)*90,"0.00")</f>
        <v>28.740951597612117</v>
      </c>
      <c r="AN709" s="350">
        <f>IFERROR(U709/(F709+F664+F646)*90,"0.00")</f>
        <v>21.177405028178011</v>
      </c>
      <c r="AO709" s="350">
        <f>IFERROR(AD709/(E709+E664+E646)*90,"0.00")</f>
        <v>188.16291280784159</v>
      </c>
      <c r="AP709" s="811">
        <f t="shared" si="137"/>
        <v>0.10049289268916935</v>
      </c>
    </row>
    <row r="710" spans="1:42" x14ac:dyDescent="0.2">
      <c r="A710" s="638">
        <v>42822</v>
      </c>
      <c r="B710" s="807" t="s">
        <v>134</v>
      </c>
      <c r="C710" s="808" t="s">
        <v>318</v>
      </c>
      <c r="D710" s="807">
        <v>105947.810039043</v>
      </c>
      <c r="E710" s="807">
        <v>5363</v>
      </c>
      <c r="F710" s="807">
        <v>100584.810039043</v>
      </c>
      <c r="G710" s="807">
        <v>64472.439780950503</v>
      </c>
      <c r="H710" s="807">
        <v>40134.609793424599</v>
      </c>
      <c r="I710" s="807">
        <v>24337.8299875259</v>
      </c>
      <c r="J710" s="807">
        <v>1341.7899904251101</v>
      </c>
      <c r="K710" s="343">
        <f t="shared" si="123"/>
        <v>63130.649790525393</v>
      </c>
      <c r="L710" s="807">
        <v>28825.450044632002</v>
      </c>
      <c r="M710" s="807">
        <v>0</v>
      </c>
      <c r="N710" s="809">
        <v>440</v>
      </c>
      <c r="O710" s="343">
        <f t="shared" si="127"/>
        <v>240.79047736146137</v>
      </c>
      <c r="P710" s="343">
        <f t="shared" si="128"/>
        <v>175.27809089638865</v>
      </c>
      <c r="Q710" s="343">
        <f t="shared" si="129"/>
        <v>146.52827222943296</v>
      </c>
      <c r="R710" s="344">
        <f t="shared" si="130"/>
        <v>0.60853017874736304</v>
      </c>
      <c r="S710" s="344">
        <f t="shared" si="131"/>
        <v>0.85077797353014617</v>
      </c>
      <c r="T710" s="343">
        <f t="shared" si="132"/>
        <v>75539.17</v>
      </c>
      <c r="U710" s="807">
        <v>69601.91</v>
      </c>
      <c r="V710" s="807">
        <v>0</v>
      </c>
      <c r="W710" s="810">
        <f t="shared" si="138"/>
        <v>0</v>
      </c>
      <c r="X710" s="807">
        <v>0</v>
      </c>
      <c r="Y710" s="810">
        <f t="shared" si="139"/>
        <v>0</v>
      </c>
      <c r="Z710" s="807">
        <v>0</v>
      </c>
      <c r="AA710" s="810">
        <f t="shared" si="140"/>
        <v>0</v>
      </c>
      <c r="AB710" s="807">
        <v>0</v>
      </c>
      <c r="AC710" s="810">
        <f t="shared" si="141"/>
        <v>0</v>
      </c>
      <c r="AD710" s="807">
        <v>5937.26</v>
      </c>
      <c r="AE710" s="807">
        <v>0</v>
      </c>
      <c r="AF710" s="810">
        <f t="shared" si="133"/>
        <v>0</v>
      </c>
      <c r="AG710" s="807">
        <v>0</v>
      </c>
      <c r="AH710" s="810">
        <f t="shared" si="134"/>
        <v>0</v>
      </c>
      <c r="AI710" s="807">
        <v>0</v>
      </c>
      <c r="AJ710" s="810">
        <f t="shared" si="135"/>
        <v>0</v>
      </c>
      <c r="AK710" s="807">
        <v>0</v>
      </c>
      <c r="AL710" s="810">
        <f t="shared" si="136"/>
        <v>0</v>
      </c>
      <c r="AM710" s="350">
        <f>IFERROR(T710/(D710+D665+D647)*90,"0.00")</f>
        <v>35.557947798860312</v>
      </c>
      <c r="AN710" s="350">
        <f>IFERROR(U710/(F710+F665+F647)*90,"0.00")</f>
        <v>34.57035916819482</v>
      </c>
      <c r="AO710" s="350">
        <f>IFERROR(AD710/(E710+E665+E647)*90,"0.00")</f>
        <v>53.462071035517759</v>
      </c>
      <c r="AP710" s="811">
        <f t="shared" si="137"/>
        <v>1.7398196716520976E-2</v>
      </c>
    </row>
    <row r="711" spans="1:42" x14ac:dyDescent="0.2">
      <c r="A711" s="638">
        <v>42822</v>
      </c>
      <c r="B711" s="807" t="s">
        <v>134</v>
      </c>
      <c r="C711" s="808" t="s">
        <v>306</v>
      </c>
      <c r="D711" s="807">
        <v>159563.890179157</v>
      </c>
      <c r="E711" s="807">
        <v>2019</v>
      </c>
      <c r="F711" s="807">
        <v>157544.890179157</v>
      </c>
      <c r="G711" s="807">
        <v>116875.749524215</v>
      </c>
      <c r="H711" s="807">
        <v>88832.499549010798</v>
      </c>
      <c r="I711" s="807">
        <v>28043.249975204501</v>
      </c>
      <c r="J711" s="807">
        <v>6604.7800236940402</v>
      </c>
      <c r="K711" s="343">
        <f t="shared" si="123"/>
        <v>110270.96950052126</v>
      </c>
      <c r="L711" s="807">
        <v>61420.899961581497</v>
      </c>
      <c r="M711" s="807">
        <v>2892.0600167661901</v>
      </c>
      <c r="N711" s="809">
        <v>676</v>
      </c>
      <c r="O711" s="343">
        <f t="shared" si="127"/>
        <v>236.04125766147484</v>
      </c>
      <c r="P711" s="343">
        <f t="shared" si="128"/>
        <v>140.90374290060549</v>
      </c>
      <c r="Q711" s="343">
        <f t="shared" si="129"/>
        <v>172.89312059795162</v>
      </c>
      <c r="R711" s="344">
        <f t="shared" si="130"/>
        <v>0.73246991780526394</v>
      </c>
      <c r="S711" s="344">
        <f t="shared" si="131"/>
        <v>1.3184526264332652</v>
      </c>
      <c r="T711" s="343">
        <f t="shared" si="132"/>
        <v>137674.08000000002</v>
      </c>
      <c r="U711" s="807">
        <v>107421.93000000001</v>
      </c>
      <c r="V711" s="807">
        <v>2467.38</v>
      </c>
      <c r="W711" s="810">
        <f t="shared" si="138"/>
        <v>2.2969052967117608E-2</v>
      </c>
      <c r="X711" s="807">
        <v>881.88</v>
      </c>
      <c r="Y711" s="810">
        <f t="shared" si="139"/>
        <v>8.2094968876466837E-3</v>
      </c>
      <c r="Z711" s="807">
        <v>236.33</v>
      </c>
      <c r="AA711" s="810">
        <f t="shared" si="140"/>
        <v>2.2000163281370947E-3</v>
      </c>
      <c r="AB711" s="807">
        <v>4037.32</v>
      </c>
      <c r="AC711" s="810">
        <f t="shared" si="141"/>
        <v>3.758375966620596E-2</v>
      </c>
      <c r="AD711" s="807">
        <v>30252.149999999998</v>
      </c>
      <c r="AE711" s="807">
        <v>2821.88</v>
      </c>
      <c r="AF711" s="810">
        <f t="shared" si="133"/>
        <v>9.3278659533289385E-2</v>
      </c>
      <c r="AG711" s="807">
        <v>1906.3</v>
      </c>
      <c r="AH711" s="810">
        <f t="shared" si="134"/>
        <v>6.3013703158287929E-2</v>
      </c>
      <c r="AI711" s="807">
        <v>1534.19</v>
      </c>
      <c r="AJ711" s="810">
        <f t="shared" si="135"/>
        <v>5.0713420368469687E-2</v>
      </c>
      <c r="AK711" s="807">
        <v>9314.7999999999993</v>
      </c>
      <c r="AL711" s="810">
        <f t="shared" si="136"/>
        <v>0.3079053885426325</v>
      </c>
      <c r="AM711" s="350">
        <f>IFERROR(T711/(D711+D666+D648)*90,"0.00")</f>
        <v>27.186631346313742</v>
      </c>
      <c r="AN711" s="350">
        <f>IFERROR(U711/(F711+F6663+F648)*90,"0.00")</f>
        <v>31.237632991303443</v>
      </c>
      <c r="AO711" s="350">
        <f>IFERROR(AD711/(E711+E666+E648)*90,"0.00")</f>
        <v>271.53620225391438</v>
      </c>
      <c r="AP711" s="811">
        <f t="shared" si="137"/>
        <v>6.9340845383554298E-2</v>
      </c>
    </row>
    <row r="712" spans="1:42" x14ac:dyDescent="0.2">
      <c r="A712" s="638">
        <v>42822</v>
      </c>
      <c r="B712" s="807" t="s">
        <v>134</v>
      </c>
      <c r="C712" s="808" t="s">
        <v>307</v>
      </c>
      <c r="D712" s="807">
        <v>161915.45014643701</v>
      </c>
      <c r="E712" s="807">
        <v>1946</v>
      </c>
      <c r="F712" s="807">
        <v>159969.45014643701</v>
      </c>
      <c r="G712" s="807">
        <v>127387.819392964</v>
      </c>
      <c r="H712" s="807">
        <v>94315.149359032497</v>
      </c>
      <c r="I712" s="807">
        <v>33072.670033931703</v>
      </c>
      <c r="J712" s="807">
        <v>7290.9900341033899</v>
      </c>
      <c r="K712" s="343">
        <f t="shared" si="123"/>
        <v>120096.82935886081</v>
      </c>
      <c r="L712" s="807">
        <v>68811.8501648456</v>
      </c>
      <c r="M712" s="807">
        <v>2101.1500052809702</v>
      </c>
      <c r="N712" s="809">
        <v>690</v>
      </c>
      <c r="O712" s="343">
        <f t="shared" si="127"/>
        <v>234.66007267599568</v>
      </c>
      <c r="P712" s="343">
        <f t="shared" si="128"/>
        <v>131.88760866131949</v>
      </c>
      <c r="Q712" s="343">
        <f t="shared" si="129"/>
        <v>184.62002810574521</v>
      </c>
      <c r="R712" s="344">
        <f t="shared" si="130"/>
        <v>0.78675518165656289</v>
      </c>
      <c r="S712" s="344">
        <f t="shared" si="131"/>
        <v>1.5217488678480886</v>
      </c>
      <c r="T712" s="343">
        <f t="shared" si="132"/>
        <v>156892.62000000002</v>
      </c>
      <c r="U712" s="807">
        <v>119445.36000000002</v>
      </c>
      <c r="V712" s="807">
        <v>2925.35</v>
      </c>
      <c r="W712" s="810">
        <f t="shared" si="138"/>
        <v>2.4491114598340191E-2</v>
      </c>
      <c r="X712" s="807">
        <v>2291.48</v>
      </c>
      <c r="Y712" s="810">
        <f t="shared" si="139"/>
        <v>1.9184336670758913E-2</v>
      </c>
      <c r="Z712" s="807">
        <v>1794.58</v>
      </c>
      <c r="AA712" s="810">
        <f t="shared" si="140"/>
        <v>1.5024275534855433E-2</v>
      </c>
      <c r="AB712" s="807">
        <v>5785.69</v>
      </c>
      <c r="AC712" s="810">
        <f t="shared" si="141"/>
        <v>4.8437963601097596E-2</v>
      </c>
      <c r="AD712" s="807">
        <v>37447.26</v>
      </c>
      <c r="AE712" s="807">
        <v>3420.04</v>
      </c>
      <c r="AF712" s="810">
        <f t="shared" si="133"/>
        <v>9.1329512493036863E-2</v>
      </c>
      <c r="AG712" s="807">
        <v>2349.46</v>
      </c>
      <c r="AH712" s="810">
        <f t="shared" si="134"/>
        <v>6.2740504912775996E-2</v>
      </c>
      <c r="AI712" s="807">
        <v>1305.74</v>
      </c>
      <c r="AJ712" s="810">
        <f t="shared" si="135"/>
        <v>3.4868772775364605E-2</v>
      </c>
      <c r="AK712" s="807">
        <v>12595.57</v>
      </c>
      <c r="AL712" s="810">
        <f t="shared" si="136"/>
        <v>0.33635491622083963</v>
      </c>
      <c r="AM712" s="350">
        <f>IFERROR(T712/(D712+D667+D649)*90,"0.00")</f>
        <v>29.2463645550739</v>
      </c>
      <c r="AN712" s="350">
        <f>IFERROR(U712/(F712+F667+F649)*90,"0.00")</f>
        <v>22.776344786254711</v>
      </c>
      <c r="AO712" s="350">
        <f>IFERROR(AD712/(E712+E667+E649)*90,"0.00")</f>
        <v>311.42611347255593</v>
      </c>
      <c r="AP712" s="811">
        <f t="shared" si="137"/>
        <v>8.0118612586818974E-2</v>
      </c>
    </row>
    <row r="713" spans="1:42" x14ac:dyDescent="0.2">
      <c r="A713" s="638">
        <v>42822</v>
      </c>
      <c r="B713" s="807" t="s">
        <v>135</v>
      </c>
      <c r="C713" s="808" t="s">
        <v>181</v>
      </c>
      <c r="D713" s="807">
        <v>120360.500003815</v>
      </c>
      <c r="E713" s="807">
        <v>9141.0200042724591</v>
      </c>
      <c r="F713" s="807">
        <v>111219.479999542</v>
      </c>
      <c r="G713" s="807">
        <v>84930.420600175901</v>
      </c>
      <c r="H713" s="807">
        <v>45911.450343370401</v>
      </c>
      <c r="I713" s="807">
        <v>39018.970256805398</v>
      </c>
      <c r="J713" s="807">
        <v>4065.3000454902599</v>
      </c>
      <c r="K713" s="343">
        <f t="shared" ref="K713:K776" si="142">SUM(H713:I713)-J713</f>
        <v>80865.120554685534</v>
      </c>
      <c r="L713" s="807">
        <v>49215.449530839898</v>
      </c>
      <c r="M713" s="807">
        <v>1810.44000703096</v>
      </c>
      <c r="N713" s="809">
        <v>851</v>
      </c>
      <c r="O713" s="343">
        <f t="shared" si="127"/>
        <v>141.43419506911218</v>
      </c>
      <c r="P713" s="343">
        <f t="shared" si="128"/>
        <v>81.474277868323867</v>
      </c>
      <c r="Q713" s="343">
        <f t="shared" si="129"/>
        <v>99.800729259901061</v>
      </c>
      <c r="R713" s="344">
        <f t="shared" si="130"/>
        <v>0.70563366384722714</v>
      </c>
      <c r="S713" s="344">
        <f t="shared" si="131"/>
        <v>1.3012305485237863</v>
      </c>
      <c r="T713" s="343">
        <f t="shared" si="132"/>
        <v>105091.90999999999</v>
      </c>
      <c r="U713" s="807">
        <v>79407.299999999988</v>
      </c>
      <c r="V713" s="807">
        <v>5149.9399999999996</v>
      </c>
      <c r="W713" s="810">
        <f t="shared" si="138"/>
        <v>6.4854742574045457E-2</v>
      </c>
      <c r="X713" s="807">
        <v>3466.04</v>
      </c>
      <c r="Y713" s="810">
        <f t="shared" si="139"/>
        <v>4.3648883666866908E-2</v>
      </c>
      <c r="Z713" s="807">
        <v>251.19</v>
      </c>
      <c r="AA713" s="810">
        <f t="shared" si="140"/>
        <v>3.1633111817175505E-3</v>
      </c>
      <c r="AB713" s="807">
        <v>3020.29</v>
      </c>
      <c r="AC713" s="810">
        <f t="shared" si="141"/>
        <v>3.8035419917312394E-2</v>
      </c>
      <c r="AD713" s="807">
        <v>25684.61</v>
      </c>
      <c r="AE713" s="807">
        <v>1275.0899999999999</v>
      </c>
      <c r="AF713" s="810">
        <f t="shared" si="133"/>
        <v>4.9644125412065823E-2</v>
      </c>
      <c r="AG713" s="807">
        <v>2007.59</v>
      </c>
      <c r="AH713" s="810">
        <f t="shared" si="134"/>
        <v>7.8163149060857834E-2</v>
      </c>
      <c r="AI713" s="807">
        <v>1644.66</v>
      </c>
      <c r="AJ713" s="810">
        <f t="shared" si="135"/>
        <v>6.4032897521122567E-2</v>
      </c>
      <c r="AK713" s="807">
        <v>8425.15</v>
      </c>
      <c r="AL713" s="810">
        <f t="shared" si="136"/>
        <v>0.32802327931006153</v>
      </c>
      <c r="AM713" s="350">
        <f>IFERROR(T713/(D713+D668+D599)*90,"0.00")</f>
        <v>25.709110994384936</v>
      </c>
      <c r="AN713" s="350">
        <f>IFERROR(U713/(F713+F668+F599)*90,"0.00")</f>
        <v>20.87311765637002</v>
      </c>
      <c r="AO713" s="350">
        <f>IFERROR(AD713/(E713+E668+E599)*90,"0.00")</f>
        <v>90.615957949576156</v>
      </c>
      <c r="AP713" s="811">
        <f t="shared" si="137"/>
        <v>5.8633055239952048E-2</v>
      </c>
    </row>
    <row r="714" spans="1:42" x14ac:dyDescent="0.2">
      <c r="A714" s="638">
        <v>42822</v>
      </c>
      <c r="B714" s="807" t="s">
        <v>135</v>
      </c>
      <c r="C714" s="808" t="s">
        <v>183</v>
      </c>
      <c r="D714" s="807">
        <v>207840.190002441</v>
      </c>
      <c r="E714" s="807">
        <v>13494</v>
      </c>
      <c r="F714" s="807">
        <v>194346.190002441</v>
      </c>
      <c r="G714" s="807">
        <v>132900.120995045</v>
      </c>
      <c r="H714" s="807">
        <v>65203.3805832863</v>
      </c>
      <c r="I714" s="807">
        <v>67696.740411758394</v>
      </c>
      <c r="J714" s="807">
        <v>8601.6400541067105</v>
      </c>
      <c r="K714" s="343">
        <f t="shared" si="142"/>
        <v>124298.480940938</v>
      </c>
      <c r="L714" s="807">
        <v>78405.549182891802</v>
      </c>
      <c r="M714" s="807">
        <v>3448.69001480937</v>
      </c>
      <c r="N714" s="809">
        <v>1009</v>
      </c>
      <c r="O714" s="343">
        <f t="shared" si="127"/>
        <v>205.9863131837869</v>
      </c>
      <c r="P714" s="343">
        <f t="shared" si="128"/>
        <v>124.86219108497505</v>
      </c>
      <c r="Q714" s="343">
        <f t="shared" si="129"/>
        <v>131.71468879588178</v>
      </c>
      <c r="R714" s="344">
        <f t="shared" si="130"/>
        <v>0.63943417773763511</v>
      </c>
      <c r="S714" s="344">
        <f t="shared" si="131"/>
        <v>1.1321795915075294</v>
      </c>
      <c r="T714" s="343">
        <f t="shared" si="132"/>
        <v>139792.99</v>
      </c>
      <c r="U714" s="807">
        <v>105667.51999999999</v>
      </c>
      <c r="V714" s="807">
        <v>3385.5</v>
      </c>
      <c r="W714" s="810">
        <f t="shared" si="138"/>
        <v>3.2039173437589906E-2</v>
      </c>
      <c r="X714" s="807">
        <v>2897.37</v>
      </c>
      <c r="Y714" s="810">
        <f t="shared" si="139"/>
        <v>2.7419683929366376E-2</v>
      </c>
      <c r="Z714" s="807">
        <v>1888.79</v>
      </c>
      <c r="AA714" s="810">
        <f t="shared" si="140"/>
        <v>1.7874839875110158E-2</v>
      </c>
      <c r="AB714" s="807">
        <v>9242.68</v>
      </c>
      <c r="AC714" s="810">
        <f t="shared" si="141"/>
        <v>8.7469451350802987E-2</v>
      </c>
      <c r="AD714" s="807">
        <v>34125.47</v>
      </c>
      <c r="AE714" s="807">
        <v>3262.38</v>
      </c>
      <c r="AF714" s="810">
        <f t="shared" si="133"/>
        <v>9.5599562438260927E-2</v>
      </c>
      <c r="AG714" s="807">
        <v>3355.17</v>
      </c>
      <c r="AH714" s="810">
        <f t="shared" si="134"/>
        <v>9.8318645867734561E-2</v>
      </c>
      <c r="AI714" s="807">
        <v>3761.49</v>
      </c>
      <c r="AJ714" s="810">
        <f t="shared" si="135"/>
        <v>0.11022529506553315</v>
      </c>
      <c r="AK714" s="807">
        <v>8543.58</v>
      </c>
      <c r="AL714" s="810">
        <f t="shared" si="136"/>
        <v>0.25035787052896269</v>
      </c>
      <c r="AM714" s="350">
        <f>IFERROR(T714/(D714+D670+D619)*90,"0.00")</f>
        <v>20.584728032688904</v>
      </c>
      <c r="AN714" s="350">
        <f>IFERROR(U714/(F714+F670+F619)*90,"0.00")</f>
        <v>16.726949390093335</v>
      </c>
      <c r="AO714" s="350">
        <f>IFERROR(AD714/(E714+E670+E619)*90,"0.00")</f>
        <v>72.009854399662387</v>
      </c>
      <c r="AP714" s="811">
        <f t="shared" si="137"/>
        <v>6.8274597279803201E-2</v>
      </c>
    </row>
    <row r="715" spans="1:42" x14ac:dyDescent="0.2">
      <c r="A715" s="638">
        <v>42822</v>
      </c>
      <c r="B715" s="807" t="s">
        <v>135</v>
      </c>
      <c r="C715" s="808" t="s">
        <v>185</v>
      </c>
      <c r="D715" s="807">
        <v>142673</v>
      </c>
      <c r="E715" s="807">
        <v>4822</v>
      </c>
      <c r="F715" s="807">
        <v>137851</v>
      </c>
      <c r="G715" s="807">
        <v>89462.480720281601</v>
      </c>
      <c r="H715" s="807">
        <v>45659.620455980301</v>
      </c>
      <c r="I715" s="807">
        <v>43802.8602643013</v>
      </c>
      <c r="J715" s="807">
        <v>6483.3100709915198</v>
      </c>
      <c r="K715" s="343">
        <f t="shared" si="142"/>
        <v>82979.170649290085</v>
      </c>
      <c r="L715" s="807">
        <v>58805.269449234002</v>
      </c>
      <c r="M715" s="807">
        <v>2753.39000087976</v>
      </c>
      <c r="N715" s="809">
        <v>666</v>
      </c>
      <c r="O715" s="343">
        <f t="shared" si="127"/>
        <v>214.22372372372374</v>
      </c>
      <c r="P715" s="343">
        <f t="shared" si="128"/>
        <v>121.7933041289583</v>
      </c>
      <c r="Q715" s="343">
        <f t="shared" si="129"/>
        <v>134.32804912955194</v>
      </c>
      <c r="R715" s="344">
        <f t="shared" si="130"/>
        <v>0.62704562685498733</v>
      </c>
      <c r="S715" s="344">
        <f t="shared" si="131"/>
        <v>1.198730342408727</v>
      </c>
      <c r="T715" s="343">
        <f t="shared" si="132"/>
        <v>116675.16</v>
      </c>
      <c r="U715" s="807">
        <v>82364.78</v>
      </c>
      <c r="V715" s="807">
        <v>2242.6</v>
      </c>
      <c r="W715" s="810">
        <f t="shared" si="138"/>
        <v>2.7227657258357272E-2</v>
      </c>
      <c r="X715" s="807">
        <v>2087.54</v>
      </c>
      <c r="Y715" s="810">
        <f t="shared" si="139"/>
        <v>2.5345056467096738E-2</v>
      </c>
      <c r="Z715" s="807">
        <v>3129.58</v>
      </c>
      <c r="AA715" s="810">
        <f t="shared" si="140"/>
        <v>3.7996580577280725E-2</v>
      </c>
      <c r="AB715" s="807">
        <v>6582.06</v>
      </c>
      <c r="AC715" s="810">
        <f t="shared" si="141"/>
        <v>7.991352614551997E-2</v>
      </c>
      <c r="AD715" s="807">
        <v>34310.379999999997</v>
      </c>
      <c r="AE715" s="807">
        <v>2689.84</v>
      </c>
      <c r="AF715" s="810">
        <f t="shared" si="133"/>
        <v>7.8397266366621421E-2</v>
      </c>
      <c r="AG715" s="807">
        <v>1806.48</v>
      </c>
      <c r="AH715" s="810">
        <f t="shared" si="134"/>
        <v>5.2651121905382577E-2</v>
      </c>
      <c r="AI715" s="807">
        <v>2294.21</v>
      </c>
      <c r="AJ715" s="810">
        <f t="shared" si="135"/>
        <v>6.6866353564140071E-2</v>
      </c>
      <c r="AK715" s="807">
        <v>6624.22</v>
      </c>
      <c r="AL715" s="810">
        <f t="shared" si="136"/>
        <v>0.19306752067450145</v>
      </c>
      <c r="AM715" s="350">
        <f>IFERROR(T715/(D715+D672+D625)*90,"0.00")</f>
        <v>23.305748067928171</v>
      </c>
      <c r="AN715" s="350">
        <f>IFERROR(U715/(F715+F672+F625)*90,"0.00")</f>
        <v>17.186882683141086</v>
      </c>
      <c r="AO715" s="350">
        <f>IFERROR(AD715/(E715+E672+E625)*90,"0.00")</f>
        <v>160.34552913075086</v>
      </c>
      <c r="AP715" s="811">
        <f t="shared" si="137"/>
        <v>7.9928037718610456E-2</v>
      </c>
    </row>
    <row r="716" spans="1:42" x14ac:dyDescent="0.2">
      <c r="A716" s="638">
        <v>42822</v>
      </c>
      <c r="B716" s="807" t="s">
        <v>135</v>
      </c>
      <c r="C716" s="808" t="s">
        <v>179</v>
      </c>
      <c r="D716" s="807">
        <v>102700.5</v>
      </c>
      <c r="E716" s="807">
        <v>5428</v>
      </c>
      <c r="F716" s="807">
        <v>97272.5</v>
      </c>
      <c r="G716" s="807">
        <v>61462.010545730598</v>
      </c>
      <c r="H716" s="807">
        <v>29896.690288543701</v>
      </c>
      <c r="I716" s="807">
        <v>31565.320257186901</v>
      </c>
      <c r="J716" s="807">
        <v>2812.53002274036</v>
      </c>
      <c r="K716" s="343">
        <f t="shared" si="142"/>
        <v>58649.480522990249</v>
      </c>
      <c r="L716" s="807">
        <v>39342.059627533003</v>
      </c>
      <c r="M716" s="807">
        <v>1872.08999475837</v>
      </c>
      <c r="N716" s="809">
        <v>492</v>
      </c>
      <c r="O716" s="343">
        <f t="shared" si="127"/>
        <v>208.74085365853659</v>
      </c>
      <c r="P716" s="343">
        <f t="shared" si="128"/>
        <v>124.97225686526144</v>
      </c>
      <c r="Q716" s="343">
        <f t="shared" si="129"/>
        <v>124.92278566205408</v>
      </c>
      <c r="R716" s="344">
        <f t="shared" si="130"/>
        <v>0.59845872752061191</v>
      </c>
      <c r="S716" s="344">
        <f t="shared" si="131"/>
        <v>1.0475201746519005</v>
      </c>
      <c r="T716" s="343">
        <f t="shared" si="132"/>
        <v>85617.36</v>
      </c>
      <c r="U716" s="807">
        <v>60111.51</v>
      </c>
      <c r="V716" s="807">
        <v>2311.46</v>
      </c>
      <c r="W716" s="810">
        <f t="shared" si="138"/>
        <v>3.8452868676897317E-2</v>
      </c>
      <c r="X716" s="807">
        <v>1457</v>
      </c>
      <c r="Y716" s="810">
        <f t="shared" si="139"/>
        <v>2.423828647791413E-2</v>
      </c>
      <c r="Z716" s="807">
        <v>1898</v>
      </c>
      <c r="AA716" s="810">
        <f t="shared" si="140"/>
        <v>3.1574651842883335E-2</v>
      </c>
      <c r="AB716" s="807">
        <v>6366.3</v>
      </c>
      <c r="AC716" s="810">
        <f t="shared" si="141"/>
        <v>0.10590816966667449</v>
      </c>
      <c r="AD716" s="807">
        <v>25505.85</v>
      </c>
      <c r="AE716" s="807">
        <v>1379.57</v>
      </c>
      <c r="AF716" s="810">
        <f t="shared" si="133"/>
        <v>5.4088375803982222E-2</v>
      </c>
      <c r="AG716" s="807">
        <v>1469.9</v>
      </c>
      <c r="AH716" s="810">
        <f t="shared" si="134"/>
        <v>5.7629916274109669E-2</v>
      </c>
      <c r="AI716" s="807">
        <v>1032.03</v>
      </c>
      <c r="AJ716" s="810">
        <f t="shared" si="135"/>
        <v>4.0462482136451053E-2</v>
      </c>
      <c r="AK716" s="807">
        <v>10939.03</v>
      </c>
      <c r="AL716" s="810">
        <f t="shared" si="136"/>
        <v>0.42888317778078366</v>
      </c>
      <c r="AM716" s="350">
        <f>IFERROR(T716/(D716+D673+D631)*90,"0.00")</f>
        <v>24.965209688243736</v>
      </c>
      <c r="AN716" s="350">
        <f>IFERROR(U716/(F716+F673+F631)*90,"0.00")</f>
        <v>18.782889019693183</v>
      </c>
      <c r="AO716" s="350">
        <f>IFERROR(AD716/(E716+E673+E631)*90,"0.00")</f>
        <v>111.31444573756183</v>
      </c>
      <c r="AP716" s="811">
        <f t="shared" si="137"/>
        <v>4.5742347780655064E-2</v>
      </c>
    </row>
    <row r="717" spans="1:42" x14ac:dyDescent="0.2">
      <c r="A717" s="638">
        <v>42822</v>
      </c>
      <c r="B717" s="807" t="s">
        <v>135</v>
      </c>
      <c r="C717" s="808" t="s">
        <v>186</v>
      </c>
      <c r="D717" s="807">
        <v>103320.29000091599</v>
      </c>
      <c r="E717" s="807">
        <v>4738</v>
      </c>
      <c r="F717" s="807">
        <v>98582.290000915498</v>
      </c>
      <c r="G717" s="807">
        <v>68195.450626382604</v>
      </c>
      <c r="H717" s="807">
        <v>36520.2703833673</v>
      </c>
      <c r="I717" s="807">
        <v>31675.1802430153</v>
      </c>
      <c r="J717" s="807">
        <v>3533.18002986908</v>
      </c>
      <c r="K717" s="343">
        <f t="shared" si="142"/>
        <v>64662.270596513525</v>
      </c>
      <c r="L717" s="807">
        <v>42589.339527130098</v>
      </c>
      <c r="M717" s="807">
        <v>1547.8700029849999</v>
      </c>
      <c r="N717" s="809">
        <v>504</v>
      </c>
      <c r="O717" s="343">
        <f t="shared" si="127"/>
        <v>205.00057539864187</v>
      </c>
      <c r="P717" s="343">
        <f t="shared" si="128"/>
        <v>117.4267469658738</v>
      </c>
      <c r="Q717" s="343">
        <f t="shared" si="129"/>
        <v>135.30843378250518</v>
      </c>
      <c r="R717" s="344">
        <f t="shared" si="130"/>
        <v>0.66003928778924581</v>
      </c>
      <c r="S717" s="344">
        <f t="shared" si="131"/>
        <v>1.2254370643262436</v>
      </c>
      <c r="T717" s="343">
        <f t="shared" si="132"/>
        <v>78377.950000000012</v>
      </c>
      <c r="U717" s="807">
        <v>56582.960000000006</v>
      </c>
      <c r="V717" s="807">
        <v>1292</v>
      </c>
      <c r="W717" s="810">
        <f t="shared" si="138"/>
        <v>2.2833729447876178E-2</v>
      </c>
      <c r="X717" s="807">
        <v>1801.5</v>
      </c>
      <c r="Y717" s="810">
        <f t="shared" si="139"/>
        <v>3.183820712101311E-2</v>
      </c>
      <c r="Z717" s="807">
        <v>1140.2</v>
      </c>
      <c r="AA717" s="810">
        <f t="shared" si="140"/>
        <v>2.0150942969402803E-2</v>
      </c>
      <c r="AB717" s="807">
        <v>5399.22</v>
      </c>
      <c r="AC717" s="810">
        <f t="shared" si="141"/>
        <v>9.54213070507446E-2</v>
      </c>
      <c r="AD717" s="807">
        <v>21794.989999999998</v>
      </c>
      <c r="AE717" s="807">
        <v>1731.89</v>
      </c>
      <c r="AF717" s="810">
        <f t="shared" si="133"/>
        <v>7.9462757266692954E-2</v>
      </c>
      <c r="AG717" s="807">
        <v>904.68</v>
      </c>
      <c r="AH717" s="810">
        <f t="shared" si="134"/>
        <v>4.1508621935591621E-2</v>
      </c>
      <c r="AI717" s="807">
        <v>992.81</v>
      </c>
      <c r="AJ717" s="810">
        <f t="shared" si="135"/>
        <v>4.5552211769769112E-2</v>
      </c>
      <c r="AK717" s="807">
        <v>8833.7199999999993</v>
      </c>
      <c r="AL717" s="810">
        <f t="shared" si="136"/>
        <v>0.40530966061466422</v>
      </c>
      <c r="AM717" s="350">
        <f>IFERROR(T717/(D717+D674+D642)*90,"0.00")</f>
        <v>22.41121703404897</v>
      </c>
      <c r="AN717" s="350">
        <f>IFERROR(U717/(F717+F674+F642)*90,"0.00")</f>
        <v>17.159305346249067</v>
      </c>
      <c r="AO717" s="350">
        <f>IFERROR(AD717/(E717+E642+E564)*90,"0.00")</f>
        <v>110.08806263329215</v>
      </c>
      <c r="AP717" s="811">
        <f t="shared" si="137"/>
        <v>5.969915728891878E-2</v>
      </c>
    </row>
    <row r="718" spans="1:42" x14ac:dyDescent="0.2">
      <c r="A718" s="638">
        <v>42822</v>
      </c>
      <c r="B718" s="807" t="s">
        <v>135</v>
      </c>
      <c r="C718" s="808" t="s">
        <v>187</v>
      </c>
      <c r="D718" s="807">
        <v>130649</v>
      </c>
      <c r="E718" s="807">
        <v>6808</v>
      </c>
      <c r="F718" s="807">
        <v>123841</v>
      </c>
      <c r="G718" s="807">
        <v>81898.330652475401</v>
      </c>
      <c r="H718" s="807">
        <v>41427.150414943702</v>
      </c>
      <c r="I718" s="807">
        <v>40471.180237531698</v>
      </c>
      <c r="J718" s="807">
        <v>5005.1800165176401</v>
      </c>
      <c r="K718" s="343">
        <f t="shared" si="142"/>
        <v>76893.150635957762</v>
      </c>
      <c r="L718" s="807">
        <v>51942.579468727097</v>
      </c>
      <c r="M718" s="807">
        <v>1928.6000106111201</v>
      </c>
      <c r="N718" s="809">
        <v>597</v>
      </c>
      <c r="O718" s="343">
        <f t="shared" si="127"/>
        <v>218.84254606365158</v>
      </c>
      <c r="P718" s="343">
        <f t="shared" si="128"/>
        <v>128.60606452372159</v>
      </c>
      <c r="Q718" s="343">
        <f t="shared" si="129"/>
        <v>137.18313342123182</v>
      </c>
      <c r="R718" s="344">
        <f t="shared" si="130"/>
        <v>0.62685769238551692</v>
      </c>
      <c r="S718" s="344">
        <f t="shared" si="131"/>
        <v>1.1410800839596615</v>
      </c>
      <c r="T718" s="343">
        <f t="shared" si="132"/>
        <v>87146.810000000012</v>
      </c>
      <c r="U718" s="807">
        <v>66498.900000000009</v>
      </c>
      <c r="V718" s="807">
        <v>2020.33</v>
      </c>
      <c r="W718" s="810">
        <f t="shared" si="138"/>
        <v>3.0381404805192261E-2</v>
      </c>
      <c r="X718" s="807">
        <v>752.37</v>
      </c>
      <c r="Y718" s="810">
        <f t="shared" si="139"/>
        <v>1.1314021735697882E-2</v>
      </c>
      <c r="Z718" s="807">
        <v>1385</v>
      </c>
      <c r="AA718" s="810">
        <f t="shared" si="140"/>
        <v>2.0827412182757906E-2</v>
      </c>
      <c r="AB718" s="807">
        <v>3728.39</v>
      </c>
      <c r="AC718" s="810">
        <f t="shared" si="141"/>
        <v>5.6066942460702346E-2</v>
      </c>
      <c r="AD718" s="807">
        <v>20647.91</v>
      </c>
      <c r="AE718" s="807">
        <v>1442.33</v>
      </c>
      <c r="AF718" s="810">
        <f t="shared" si="133"/>
        <v>6.9853559028492468E-2</v>
      </c>
      <c r="AG718" s="807">
        <v>1479.37</v>
      </c>
      <c r="AH718" s="810">
        <f t="shared" si="134"/>
        <v>7.1647445189367831E-2</v>
      </c>
      <c r="AI718" s="807">
        <v>1282.9100000000001</v>
      </c>
      <c r="AJ718" s="810">
        <f t="shared" si="135"/>
        <v>6.2132680741053214E-2</v>
      </c>
      <c r="AK718" s="807">
        <v>5214.6899999999996</v>
      </c>
      <c r="AL718" s="810">
        <f t="shared" si="136"/>
        <v>0.25255292182114314</v>
      </c>
      <c r="AM718" s="350">
        <f>IFERROR(T718/(D718+D675+D643)*90,"0.00")</f>
        <v>19.825342287515475</v>
      </c>
      <c r="AN718" s="350">
        <f>IFERROR(U718/(F718+F675+F643)*90,"0.00")</f>
        <v>15.968784552078592</v>
      </c>
      <c r="AO718" s="350">
        <f>IFERROR(AD718/(E718+E675+E643)*90,"0.00")</f>
        <v>89.221811983867866</v>
      </c>
      <c r="AP718" s="811">
        <f t="shared" si="137"/>
        <v>6.5190441491767656E-2</v>
      </c>
    </row>
    <row r="719" spans="1:42" x14ac:dyDescent="0.2">
      <c r="A719" s="638">
        <v>42822</v>
      </c>
      <c r="B719" s="807" t="s">
        <v>135</v>
      </c>
      <c r="C719" s="808" t="s">
        <v>188</v>
      </c>
      <c r="D719" s="807">
        <v>140256.5</v>
      </c>
      <c r="E719" s="807">
        <v>8623</v>
      </c>
      <c r="F719" s="807">
        <v>131633.5</v>
      </c>
      <c r="G719" s="807">
        <v>94420.040786445097</v>
      </c>
      <c r="H719" s="807">
        <v>45038.6804471016</v>
      </c>
      <c r="I719" s="807">
        <v>49381.360339343497</v>
      </c>
      <c r="J719" s="807">
        <v>4853.5100293159503</v>
      </c>
      <c r="K719" s="343">
        <f t="shared" si="142"/>
        <v>89566.530757129149</v>
      </c>
      <c r="L719" s="807">
        <v>57254.139310479201</v>
      </c>
      <c r="M719" s="807">
        <v>1453.2700028419499</v>
      </c>
      <c r="N719" s="809">
        <v>777</v>
      </c>
      <c r="O719" s="343">
        <f t="shared" si="127"/>
        <v>180.510296010296</v>
      </c>
      <c r="P719" s="343">
        <f t="shared" si="128"/>
        <v>104.95378466754036</v>
      </c>
      <c r="Q719" s="343">
        <f t="shared" si="129"/>
        <v>121.51871401086885</v>
      </c>
      <c r="R719" s="344">
        <f t="shared" si="130"/>
        <v>0.67319547248394973</v>
      </c>
      <c r="S719" s="344">
        <f t="shared" si="131"/>
        <v>1.2311014530063489</v>
      </c>
      <c r="T719" s="343">
        <f t="shared" si="132"/>
        <v>97857.55</v>
      </c>
      <c r="U719" s="807">
        <v>70675.75</v>
      </c>
      <c r="V719" s="807">
        <v>3475.25</v>
      </c>
      <c r="W719" s="810">
        <f t="shared" si="138"/>
        <v>4.9171745612887022E-2</v>
      </c>
      <c r="X719" s="807">
        <v>3263.72</v>
      </c>
      <c r="Y719" s="810">
        <f t="shared" si="139"/>
        <v>4.6178781265143985E-2</v>
      </c>
      <c r="Z719" s="807">
        <v>1806</v>
      </c>
      <c r="AA719" s="810">
        <f t="shared" si="140"/>
        <v>2.5553319207790508E-2</v>
      </c>
      <c r="AB719" s="807">
        <v>5185.3999999999996</v>
      </c>
      <c r="AC719" s="810">
        <f t="shared" si="141"/>
        <v>7.3368871218204262E-2</v>
      </c>
      <c r="AD719" s="807">
        <v>27181.800000000003</v>
      </c>
      <c r="AE719" s="807">
        <v>1590.2</v>
      </c>
      <c r="AF719" s="810">
        <f t="shared" si="133"/>
        <v>5.8502380269150681E-2</v>
      </c>
      <c r="AG719" s="807">
        <v>1635.9</v>
      </c>
      <c r="AH719" s="810">
        <f t="shared" si="134"/>
        <v>6.0183652296757387E-2</v>
      </c>
      <c r="AI719" s="807">
        <v>1677.53</v>
      </c>
      <c r="AJ719" s="810">
        <f t="shared" si="135"/>
        <v>6.1715191782736968E-2</v>
      </c>
      <c r="AK719" s="807">
        <v>11737.29</v>
      </c>
      <c r="AL719" s="810">
        <f t="shared" si="136"/>
        <v>0.43180694435247113</v>
      </c>
      <c r="AM719" s="350">
        <f>IFERROR(T719/(D719+D676+D644)*90,"0.00")</f>
        <v>20.256541209157696</v>
      </c>
      <c r="AN719" s="350">
        <f>IFERROR(U719/(F719+F676+F644)*90,"0.00")</f>
        <v>15.605768239964277</v>
      </c>
      <c r="AO719" s="350">
        <f>IFERROR(AD719/(E719+E676+E644)*90,"0.00")</f>
        <v>89.979476239517439</v>
      </c>
      <c r="AP719" s="811">
        <f t="shared" si="137"/>
        <v>5.9516421194243642E-2</v>
      </c>
    </row>
    <row r="720" spans="1:42" x14ac:dyDescent="0.2">
      <c r="A720" s="638">
        <v>42822</v>
      </c>
      <c r="B720" s="807" t="s">
        <v>136</v>
      </c>
      <c r="C720" s="808" t="s">
        <v>189</v>
      </c>
      <c r="D720" s="807">
        <v>120912.869999427</v>
      </c>
      <c r="E720" s="807">
        <v>4492</v>
      </c>
      <c r="F720" s="807">
        <v>116420.869999427</v>
      </c>
      <c r="G720" s="807">
        <v>78875.989979315505</v>
      </c>
      <c r="H720" s="807">
        <v>37887.079917479299</v>
      </c>
      <c r="I720" s="807">
        <v>40988.910061836199</v>
      </c>
      <c r="J720" s="807">
        <v>5199.5299854278601</v>
      </c>
      <c r="K720" s="343">
        <f t="shared" si="142"/>
        <v>73676.459993887634</v>
      </c>
      <c r="L720" s="807">
        <v>49289.410106619798</v>
      </c>
      <c r="M720" s="807">
        <v>2607.4899868965099</v>
      </c>
      <c r="N720" s="809">
        <v>524</v>
      </c>
      <c r="O720" s="343">
        <f t="shared" si="127"/>
        <v>230.74975190730342</v>
      </c>
      <c r="P720" s="343">
        <f t="shared" si="128"/>
        <v>131.70986623265401</v>
      </c>
      <c r="Q720" s="343">
        <f t="shared" si="129"/>
        <v>150.52669843380818</v>
      </c>
      <c r="R720" s="344">
        <f t="shared" si="130"/>
        <v>0.65233742263903982</v>
      </c>
      <c r="S720" s="344">
        <f t="shared" si="131"/>
        <v>1.2359822966871437</v>
      </c>
      <c r="T720" s="343">
        <f t="shared" si="132"/>
        <v>96929.95</v>
      </c>
      <c r="U720" s="807">
        <v>73742.92</v>
      </c>
      <c r="V720" s="807">
        <v>2839.33</v>
      </c>
      <c r="W720" s="810">
        <f t="shared" si="138"/>
        <v>3.8503086126776644E-2</v>
      </c>
      <c r="X720" s="807">
        <v>1011.02</v>
      </c>
      <c r="Y720" s="810">
        <f t="shared" si="139"/>
        <v>1.3710061928657015E-2</v>
      </c>
      <c r="Z720" s="807">
        <v>1973.08</v>
      </c>
      <c r="AA720" s="810">
        <f t="shared" si="140"/>
        <v>2.6756195713432556E-2</v>
      </c>
      <c r="AB720" s="807">
        <v>3904.67</v>
      </c>
      <c r="AC720" s="810">
        <f t="shared" si="141"/>
        <v>5.2949761143171445E-2</v>
      </c>
      <c r="AD720" s="807">
        <v>23187.03</v>
      </c>
      <c r="AE720" s="807">
        <v>1537.32</v>
      </c>
      <c r="AF720" s="810">
        <f t="shared" si="133"/>
        <v>6.6300858712823513E-2</v>
      </c>
      <c r="AG720" s="807">
        <v>1719.06</v>
      </c>
      <c r="AH720" s="810">
        <f t="shared" si="134"/>
        <v>7.4138861251311625E-2</v>
      </c>
      <c r="AI720" s="807">
        <v>1668.16</v>
      </c>
      <c r="AJ720" s="810">
        <f t="shared" si="135"/>
        <v>7.1943668507782166E-2</v>
      </c>
      <c r="AK720" s="807">
        <v>6634.01</v>
      </c>
      <c r="AL720" s="810">
        <f t="shared" si="136"/>
        <v>0.28610865643422206</v>
      </c>
      <c r="AM720" s="350">
        <f>IFERROR(T720/(D720+D677+D609)*90,"0.00")</f>
        <v>19.417078468445702</v>
      </c>
      <c r="AN720" s="350">
        <f>IFERROR(U720/(F720+F677+F609)*90,"0.00")</f>
        <v>15.490962200846079</v>
      </c>
      <c r="AO720" s="350">
        <f>IFERROR(AD720/(E720+E677+E609)*90,"0.00")</f>
        <v>100.11190693211802</v>
      </c>
      <c r="AP720" s="811">
        <f t="shared" si="137"/>
        <v>7.5338070196164258E-2</v>
      </c>
    </row>
    <row r="721" spans="1:42" x14ac:dyDescent="0.2">
      <c r="A721" s="638">
        <v>42822</v>
      </c>
      <c r="B721" s="807" t="s">
        <v>136</v>
      </c>
      <c r="C721" s="808" t="s">
        <v>190</v>
      </c>
      <c r="D721" s="807">
        <v>155728.36000663601</v>
      </c>
      <c r="E721" s="807">
        <v>7795</v>
      </c>
      <c r="F721" s="807">
        <v>147933.36000663601</v>
      </c>
      <c r="G721" s="807">
        <v>97023.260094165802</v>
      </c>
      <c r="H721" s="807">
        <v>46009.270014285998</v>
      </c>
      <c r="I721" s="807">
        <v>51013.990079879797</v>
      </c>
      <c r="J721" s="807">
        <v>5345.0599832534799</v>
      </c>
      <c r="K721" s="343">
        <f t="shared" si="142"/>
        <v>91678.200110912323</v>
      </c>
      <c r="L721" s="807">
        <v>63023.069995880098</v>
      </c>
      <c r="M721" s="807">
        <v>2686.5500082969702</v>
      </c>
      <c r="N721" s="809">
        <v>650</v>
      </c>
      <c r="O721" s="343">
        <f t="shared" si="127"/>
        <v>239.58209231790156</v>
      </c>
      <c r="P721" s="343">
        <f t="shared" si="128"/>
        <v>138.49036923455222</v>
      </c>
      <c r="Q721" s="343">
        <f t="shared" si="129"/>
        <v>149.26655399102432</v>
      </c>
      <c r="R721" s="344">
        <f t="shared" si="130"/>
        <v>0.62302884387937674</v>
      </c>
      <c r="S721" s="344">
        <f t="shared" si="131"/>
        <v>1.1458491005960676</v>
      </c>
      <c r="T721" s="343">
        <f t="shared" si="132"/>
        <v>117060.94</v>
      </c>
      <c r="U721" s="807">
        <v>86835.290000000008</v>
      </c>
      <c r="V721" s="807">
        <v>3961.92</v>
      </c>
      <c r="W721" s="810">
        <f t="shared" si="138"/>
        <v>4.5625689739735999E-2</v>
      </c>
      <c r="X721" s="807">
        <v>3783.69</v>
      </c>
      <c r="Y721" s="810">
        <f t="shared" si="139"/>
        <v>4.3573183206965738E-2</v>
      </c>
      <c r="Z721" s="807">
        <v>2889.53</v>
      </c>
      <c r="AA721" s="810">
        <f t="shared" si="140"/>
        <v>3.3275987216717998E-2</v>
      </c>
      <c r="AB721" s="807">
        <v>4809.13</v>
      </c>
      <c r="AC721" s="810">
        <f t="shared" si="141"/>
        <v>5.538220693453088E-2</v>
      </c>
      <c r="AD721" s="807">
        <v>30225.65</v>
      </c>
      <c r="AE721" s="807">
        <v>1718.7</v>
      </c>
      <c r="AF721" s="810">
        <f t="shared" si="133"/>
        <v>5.6862300728024041E-2</v>
      </c>
      <c r="AG721" s="807">
        <v>1394.88</v>
      </c>
      <c r="AH721" s="810">
        <f t="shared" si="134"/>
        <v>4.6148883481413966E-2</v>
      </c>
      <c r="AI721" s="807">
        <v>2109.1999999999998</v>
      </c>
      <c r="AJ721" s="810">
        <f t="shared" si="135"/>
        <v>6.9781791293156634E-2</v>
      </c>
      <c r="AK721" s="807">
        <v>11430.93</v>
      </c>
      <c r="AL721" s="810">
        <f t="shared" si="136"/>
        <v>0.37818640790189789</v>
      </c>
      <c r="AM721" s="350">
        <f>IFERROR(T721/(D721+D678+D612)*90,"0.00")</f>
        <v>19.44573869559537</v>
      </c>
      <c r="AN721" s="350">
        <f>IFERROR(U721/(F721+F678+F612)*90,"0.00")</f>
        <v>15.253205706205145</v>
      </c>
      <c r="AO721" s="350">
        <f>IFERROR(AD721/(E721+E678+E612)*90,"0.00")</f>
        <v>92.445745259294512</v>
      </c>
      <c r="AP721" s="811">
        <f t="shared" si="137"/>
        <v>5.9377191717052191E-2</v>
      </c>
    </row>
    <row r="722" spans="1:42" x14ac:dyDescent="0.2">
      <c r="A722" s="638">
        <v>42822</v>
      </c>
      <c r="B722" s="807" t="s">
        <v>136</v>
      </c>
      <c r="C722" s="808" t="s">
        <v>191</v>
      </c>
      <c r="D722" s="807">
        <v>190534.93000200199</v>
      </c>
      <c r="E722" s="807">
        <v>7729</v>
      </c>
      <c r="F722" s="807">
        <v>182805.93000200199</v>
      </c>
      <c r="G722" s="807">
        <v>123733.080183841</v>
      </c>
      <c r="H722" s="807">
        <v>66160.320017099395</v>
      </c>
      <c r="I722" s="807">
        <v>57572.7601667419</v>
      </c>
      <c r="J722" s="807">
        <v>6709.0900067090997</v>
      </c>
      <c r="K722" s="343">
        <f t="shared" si="142"/>
        <v>117023.99017713219</v>
      </c>
      <c r="L722" s="807">
        <v>91504.450048446699</v>
      </c>
      <c r="M722" s="807">
        <v>3081.09001016617</v>
      </c>
      <c r="N722" s="809">
        <v>780</v>
      </c>
      <c r="O722" s="343">
        <f t="shared" si="127"/>
        <v>244.27555128461793</v>
      </c>
      <c r="P722" s="343">
        <f t="shared" si="128"/>
        <v>123.01203838896041</v>
      </c>
      <c r="Q722" s="343">
        <f t="shared" si="129"/>
        <v>158.6321540818478</v>
      </c>
      <c r="R722" s="344">
        <f t="shared" si="130"/>
        <v>0.64939840785383129</v>
      </c>
      <c r="S722" s="344">
        <f t="shared" si="131"/>
        <v>1.3865157364064826</v>
      </c>
      <c r="T722" s="343">
        <f t="shared" si="132"/>
        <v>151546.88999999998</v>
      </c>
      <c r="U722" s="807">
        <v>107826.00999999998</v>
      </c>
      <c r="V722" s="807">
        <v>5395.02</v>
      </c>
      <c r="W722" s="810">
        <f t="shared" si="138"/>
        <v>5.0034495387522929E-2</v>
      </c>
      <c r="X722" s="807">
        <v>2653.37</v>
      </c>
      <c r="Y722" s="810">
        <f t="shared" si="139"/>
        <v>2.4607884498369183E-2</v>
      </c>
      <c r="Z722" s="807">
        <v>2910.33</v>
      </c>
      <c r="AA722" s="810">
        <f t="shared" si="140"/>
        <v>2.6990982973403174E-2</v>
      </c>
      <c r="AB722" s="807">
        <v>6258.73</v>
      </c>
      <c r="AC722" s="810">
        <f t="shared" si="141"/>
        <v>5.8044714814171464E-2</v>
      </c>
      <c r="AD722" s="807">
        <v>43720.88</v>
      </c>
      <c r="AE722" s="807">
        <v>4244.3900000000003</v>
      </c>
      <c r="AF722" s="810">
        <f t="shared" si="133"/>
        <v>9.7079244516578816E-2</v>
      </c>
      <c r="AG722" s="807">
        <v>2887.34</v>
      </c>
      <c r="AH722" s="810">
        <f t="shared" si="134"/>
        <v>6.6040299280343856E-2</v>
      </c>
      <c r="AI722" s="807">
        <v>2131.58</v>
      </c>
      <c r="AJ722" s="810">
        <f t="shared" si="135"/>
        <v>4.8754279419810399E-2</v>
      </c>
      <c r="AK722" s="807">
        <v>14937.96</v>
      </c>
      <c r="AL722" s="810">
        <f t="shared" si="136"/>
        <v>0.3416664989359775</v>
      </c>
      <c r="AM722" s="350">
        <f>IFERROR(T722/(D722+D679+D613)*90,"0.00")</f>
        <v>19.214890605101203</v>
      </c>
      <c r="AN722" s="350">
        <f>IFERROR(U722/(F722+F679+F613)*90,"0.00")</f>
        <v>14.168833503946534</v>
      </c>
      <c r="AO722" s="350">
        <f>IFERROR(AD722/(E722+E679+E613)*90,"0.00")</f>
        <v>157.91312304358294</v>
      </c>
      <c r="AP722" s="811">
        <f t="shared" si="137"/>
        <v>6.9923216923708578E-2</v>
      </c>
    </row>
    <row r="723" spans="1:42" x14ac:dyDescent="0.2">
      <c r="A723" s="638">
        <v>42822</v>
      </c>
      <c r="B723" s="807" t="s">
        <v>136</v>
      </c>
      <c r="C723" s="808" t="s">
        <v>192</v>
      </c>
      <c r="D723" s="807">
        <v>238050.250006713</v>
      </c>
      <c r="E723" s="807">
        <v>11992</v>
      </c>
      <c r="F723" s="807">
        <v>226058.250006713</v>
      </c>
      <c r="G723" s="807">
        <v>155013.06001687</v>
      </c>
      <c r="H723" s="807">
        <v>80762.179811716094</v>
      </c>
      <c r="I723" s="807">
        <v>74250.880205154404</v>
      </c>
      <c r="J723" s="807">
        <v>8602.1500247716904</v>
      </c>
      <c r="K723" s="343">
        <f t="shared" si="142"/>
        <v>146410.90999209881</v>
      </c>
      <c r="L723" s="807">
        <v>95645.680339813203</v>
      </c>
      <c r="M723" s="807">
        <v>6544.3400065898904</v>
      </c>
      <c r="N723" s="809">
        <v>1371</v>
      </c>
      <c r="O723" s="343">
        <f t="shared" si="127"/>
        <v>173.63256747389715</v>
      </c>
      <c r="P723" s="343">
        <f t="shared" si="128"/>
        <v>99.095718205915318</v>
      </c>
      <c r="Q723" s="343">
        <f t="shared" si="129"/>
        <v>113.06568929020459</v>
      </c>
      <c r="R723" s="344">
        <f t="shared" si="130"/>
        <v>0.6511778921152116</v>
      </c>
      <c r="S723" s="344">
        <f t="shared" si="131"/>
        <v>1.2180999466660301</v>
      </c>
      <c r="T723" s="343">
        <f t="shared" si="132"/>
        <v>194328.55</v>
      </c>
      <c r="U723" s="807">
        <v>130257.51</v>
      </c>
      <c r="V723" s="807">
        <v>2576.6999999999998</v>
      </c>
      <c r="W723" s="810">
        <f t="shared" si="138"/>
        <v>1.9781584954295533E-2</v>
      </c>
      <c r="X723" s="807">
        <v>2560.5100000000002</v>
      </c>
      <c r="Y723" s="810">
        <f t="shared" si="139"/>
        <v>1.9657292696597689E-2</v>
      </c>
      <c r="Z723" s="807">
        <v>1029.55</v>
      </c>
      <c r="AA723" s="810">
        <f t="shared" si="140"/>
        <v>7.9039588581111368E-3</v>
      </c>
      <c r="AB723" s="807">
        <v>3953.61</v>
      </c>
      <c r="AC723" s="810">
        <f t="shared" si="141"/>
        <v>3.0352261455020908E-2</v>
      </c>
      <c r="AD723" s="807">
        <v>64071.039999999994</v>
      </c>
      <c r="AE723" s="807">
        <v>5682.29</v>
      </c>
      <c r="AF723" s="810">
        <f t="shared" si="133"/>
        <v>8.8687338304482027E-2</v>
      </c>
      <c r="AG723" s="807">
        <v>2620.56</v>
      </c>
      <c r="AH723" s="810">
        <f t="shared" si="134"/>
        <v>4.0900850056437357E-2</v>
      </c>
      <c r="AI723" s="807">
        <v>5342.72</v>
      </c>
      <c r="AJ723" s="810">
        <f t="shared" si="135"/>
        <v>8.3387439941664768E-2</v>
      </c>
      <c r="AK723" s="807">
        <v>24111.200000000001</v>
      </c>
      <c r="AL723" s="810">
        <f t="shared" si="136"/>
        <v>0.37631978503860719</v>
      </c>
      <c r="AM723" s="350">
        <f>IFERROR(T723/(D723+D680+D617)*90,"0.00")</f>
        <v>22.142740683261145</v>
      </c>
      <c r="AN723" s="350">
        <f>IFERROR(U723/(F723+F680+F617)*90,"0.00")</f>
        <v>15.646512663948815</v>
      </c>
      <c r="AO723" s="350">
        <f>IFERROR(AD723/(E723+E680+E617)*90,"0.00")</f>
        <v>142.01540734902963</v>
      </c>
      <c r="AP723" s="811">
        <f t="shared" si="137"/>
        <v>6.3316174617690305E-2</v>
      </c>
    </row>
    <row r="724" spans="1:42" x14ac:dyDescent="0.2">
      <c r="A724" s="638">
        <v>42822</v>
      </c>
      <c r="B724" s="807" t="s">
        <v>136</v>
      </c>
      <c r="C724" s="808" t="s">
        <v>193</v>
      </c>
      <c r="D724" s="807">
        <v>90219.430002689405</v>
      </c>
      <c r="E724" s="807">
        <v>3139</v>
      </c>
      <c r="F724" s="807">
        <v>87080.430002689405</v>
      </c>
      <c r="G724" s="807">
        <v>54998.900153934999</v>
      </c>
      <c r="H724" s="807">
        <v>28331.320049345501</v>
      </c>
      <c r="I724" s="807">
        <v>26667.580104589499</v>
      </c>
      <c r="J724" s="807">
        <v>3224.3399934768699</v>
      </c>
      <c r="K724" s="343">
        <f t="shared" si="142"/>
        <v>51774.560160458132</v>
      </c>
      <c r="L724" s="807">
        <v>43567.319965362498</v>
      </c>
      <c r="M724" s="807">
        <v>40</v>
      </c>
      <c r="N724" s="809">
        <v>360</v>
      </c>
      <c r="O724" s="343">
        <f t="shared" si="127"/>
        <v>250.60952778524836</v>
      </c>
      <c r="P724" s="343">
        <f t="shared" si="128"/>
        <v>129.47808343701919</v>
      </c>
      <c r="Q724" s="343">
        <f t="shared" si="129"/>
        <v>152.77472264981944</v>
      </c>
      <c r="R724" s="344">
        <f t="shared" si="130"/>
        <v>0.60961258735834956</v>
      </c>
      <c r="S724" s="344">
        <f t="shared" si="131"/>
        <v>1.2676129724655154</v>
      </c>
      <c r="T724" s="343">
        <f t="shared" si="132"/>
        <v>75175.12</v>
      </c>
      <c r="U724" s="807">
        <v>58335.479999999996</v>
      </c>
      <c r="V724" s="807">
        <v>6274.35</v>
      </c>
      <c r="W724" s="810">
        <f t="shared" si="138"/>
        <v>0.10755632764142853</v>
      </c>
      <c r="X724" s="807">
        <v>3508.94</v>
      </c>
      <c r="Y724" s="810">
        <f t="shared" si="139"/>
        <v>6.0151043584453237E-2</v>
      </c>
      <c r="Z724" s="807">
        <v>488.7</v>
      </c>
      <c r="AA724" s="810">
        <f t="shared" si="140"/>
        <v>8.3774059971735895E-3</v>
      </c>
      <c r="AB724" s="807">
        <v>1007.77</v>
      </c>
      <c r="AC724" s="810">
        <f t="shared" si="141"/>
        <v>1.7275421407349355E-2</v>
      </c>
      <c r="AD724" s="807">
        <v>16839.64</v>
      </c>
      <c r="AE724" s="807">
        <v>2148.0700000000002</v>
      </c>
      <c r="AF724" s="810">
        <f t="shared" si="133"/>
        <v>0.12756032789299535</v>
      </c>
      <c r="AG724" s="807">
        <v>694.2</v>
      </c>
      <c r="AH724" s="810">
        <f t="shared" si="134"/>
        <v>4.1224159186300902E-2</v>
      </c>
      <c r="AI724" s="807">
        <v>822.82</v>
      </c>
      <c r="AJ724" s="810">
        <f t="shared" si="135"/>
        <v>4.8862089688378144E-2</v>
      </c>
      <c r="AK724" s="807">
        <v>2134.8000000000002</v>
      </c>
      <c r="AL724" s="810">
        <f t="shared" si="136"/>
        <v>0.12677230629633415</v>
      </c>
      <c r="AM724" s="350">
        <f>IFERROR(T724/(D724+D681+D620)*90,"0.00")</f>
        <v>20.801765783307602</v>
      </c>
      <c r="AN724" s="350">
        <f>IFERROR(U724/(F724+F681+F620)*90,"0.00")</f>
        <v>16.872245646669359</v>
      </c>
      <c r="AO724" s="350">
        <f>IFERROR(AD724/(E724+E681+E620)*90,"0.00")</f>
        <v>107.67033248081842</v>
      </c>
      <c r="AP724" s="811">
        <f t="shared" si="137"/>
        <v>6.9173868998739244E-2</v>
      </c>
    </row>
    <row r="725" spans="1:42" x14ac:dyDescent="0.2">
      <c r="A725" s="638">
        <v>42822</v>
      </c>
      <c r="B725" s="807" t="s">
        <v>136</v>
      </c>
      <c r="C725" s="808" t="s">
        <v>304</v>
      </c>
      <c r="D725" s="807">
        <v>58723.089999198899</v>
      </c>
      <c r="E725" s="807">
        <v>5205</v>
      </c>
      <c r="F725" s="807">
        <v>53518.089999198899</v>
      </c>
      <c r="G725" s="807">
        <v>31790.930050373099</v>
      </c>
      <c r="H725" s="807">
        <v>12735.249994278</v>
      </c>
      <c r="I725" s="807">
        <v>19055.680056095101</v>
      </c>
      <c r="J725" s="807">
        <v>1014.45999670029</v>
      </c>
      <c r="K725" s="343">
        <f t="shared" si="142"/>
        <v>30776.470053672809</v>
      </c>
      <c r="L725" s="807">
        <v>22171.769969463301</v>
      </c>
      <c r="M725" s="807">
        <v>0</v>
      </c>
      <c r="N725" s="809">
        <v>234</v>
      </c>
      <c r="O725" s="343">
        <f t="shared" si="127"/>
        <v>250.95337606495255</v>
      </c>
      <c r="P725" s="343">
        <f t="shared" si="128"/>
        <v>156.20222234929741</v>
      </c>
      <c r="Q725" s="343">
        <f t="shared" si="129"/>
        <v>135.85867542894488</v>
      </c>
      <c r="R725" s="344">
        <f t="shared" si="130"/>
        <v>0.54137018421215222</v>
      </c>
      <c r="S725" s="344">
        <f t="shared" si="131"/>
        <v>0.89459029359431397</v>
      </c>
      <c r="T725" s="343">
        <f t="shared" si="132"/>
        <v>55295.890000000007</v>
      </c>
      <c r="U725" s="807">
        <v>47076.540000000008</v>
      </c>
      <c r="V725" s="807">
        <v>5235.22</v>
      </c>
      <c r="W725" s="810">
        <f t="shared" si="138"/>
        <v>0.1112065585108846</v>
      </c>
      <c r="X725" s="807">
        <v>207.48</v>
      </c>
      <c r="Y725" s="810">
        <f t="shared" si="139"/>
        <v>4.4072907652091672E-3</v>
      </c>
      <c r="Z725" s="807">
        <v>0</v>
      </c>
      <c r="AA725" s="810">
        <f t="shared" si="140"/>
        <v>0</v>
      </c>
      <c r="AB725" s="807">
        <v>0</v>
      </c>
      <c r="AC725" s="810">
        <f t="shared" si="141"/>
        <v>0</v>
      </c>
      <c r="AD725" s="807">
        <v>8219.3499999999985</v>
      </c>
      <c r="AE725" s="807">
        <v>1048.3699999999999</v>
      </c>
      <c r="AF725" s="810">
        <f t="shared" si="133"/>
        <v>0.12754901543309385</v>
      </c>
      <c r="AG725" s="807">
        <v>330</v>
      </c>
      <c r="AH725" s="810">
        <f t="shared" si="134"/>
        <v>4.0149160213398878E-2</v>
      </c>
      <c r="AI725" s="807">
        <v>0</v>
      </c>
      <c r="AJ725" s="810">
        <f t="shared" si="135"/>
        <v>0</v>
      </c>
      <c r="AK725" s="807">
        <v>0</v>
      </c>
      <c r="AL725" s="810">
        <f t="shared" si="136"/>
        <v>0</v>
      </c>
      <c r="AM725" s="350">
        <f>IFERROR(T725/(D725+D682+D626)*90,"0.00")</f>
        <v>26.73357073949807</v>
      </c>
      <c r="AN725" s="350">
        <f>IFERROR(U725/(F725+F682+F626)*90,"0.00")</f>
        <v>24.451735207283715</v>
      </c>
      <c r="AO725" s="350">
        <f>IFERROR(AD725/(E725+E682+E626)*90,"0.00")</f>
        <v>57.428887508733787</v>
      </c>
      <c r="AP725" s="811">
        <f t="shared" si="137"/>
        <v>2.7754401096184666E-2</v>
      </c>
    </row>
    <row r="726" spans="1:42" x14ac:dyDescent="0.2">
      <c r="A726" s="638">
        <v>42822</v>
      </c>
      <c r="B726" s="807" t="s">
        <v>136</v>
      </c>
      <c r="C726" s="808" t="s">
        <v>310</v>
      </c>
      <c r="D726" s="807">
        <v>34761.360000610402</v>
      </c>
      <c r="E726" s="807">
        <v>720</v>
      </c>
      <c r="F726" s="807">
        <v>34041.360000610402</v>
      </c>
      <c r="G726" s="807">
        <v>19595.790045738198</v>
      </c>
      <c r="H726" s="807">
        <v>10351.640022277799</v>
      </c>
      <c r="I726" s="807">
        <v>9244.15002346039</v>
      </c>
      <c r="J726" s="807">
        <v>474.07999801635702</v>
      </c>
      <c r="K726" s="343">
        <f t="shared" si="142"/>
        <v>19121.710047721834</v>
      </c>
      <c r="L726" s="807">
        <v>15017.4399681091</v>
      </c>
      <c r="M726" s="807">
        <v>0</v>
      </c>
      <c r="N726" s="809">
        <v>134</v>
      </c>
      <c r="O726" s="343">
        <f t="shared" si="127"/>
        <v>259.41313433291344</v>
      </c>
      <c r="P726" s="343">
        <f t="shared" si="128"/>
        <v>147.34268680971121</v>
      </c>
      <c r="Q726" s="343">
        <f t="shared" si="129"/>
        <v>146.23723914729993</v>
      </c>
      <c r="R726" s="344">
        <f t="shared" si="130"/>
        <v>0.56372334239494926</v>
      </c>
      <c r="S726" s="344">
        <f t="shared" si="131"/>
        <v>1.0169150346173053</v>
      </c>
      <c r="T726" s="343">
        <f t="shared" si="132"/>
        <v>22699.31</v>
      </c>
      <c r="U726" s="807">
        <v>20027.740000000002</v>
      </c>
      <c r="V726" s="807">
        <v>1360.8</v>
      </c>
      <c r="W726" s="810">
        <f t="shared" si="138"/>
        <v>6.7945759231945291E-2</v>
      </c>
      <c r="X726" s="807">
        <v>0</v>
      </c>
      <c r="Y726" s="810">
        <f t="shared" si="139"/>
        <v>0</v>
      </c>
      <c r="Z726" s="807">
        <v>0</v>
      </c>
      <c r="AA726" s="810">
        <f t="shared" si="140"/>
        <v>0</v>
      </c>
      <c r="AB726" s="807">
        <v>0</v>
      </c>
      <c r="AC726" s="810">
        <f t="shared" si="141"/>
        <v>0</v>
      </c>
      <c r="AD726" s="807">
        <v>2671.5700000000006</v>
      </c>
      <c r="AE726" s="807">
        <v>291.97000000000003</v>
      </c>
      <c r="AF726" s="810">
        <f t="shared" si="133"/>
        <v>0.10928779706315012</v>
      </c>
      <c r="AG726" s="807">
        <v>0</v>
      </c>
      <c r="AH726" s="810">
        <f t="shared" si="134"/>
        <v>0</v>
      </c>
      <c r="AI726" s="807">
        <v>0</v>
      </c>
      <c r="AJ726" s="810">
        <f t="shared" si="135"/>
        <v>0</v>
      </c>
      <c r="AK726" s="807">
        <v>0</v>
      </c>
      <c r="AL726" s="810">
        <f t="shared" si="136"/>
        <v>0</v>
      </c>
      <c r="AM726" s="350">
        <f>IFERROR(T726/(D726+D683+D627)*90,"0.00")</f>
        <v>19.762447769801682</v>
      </c>
      <c r="AN726" s="350">
        <f>IFERROR(U726/(F726+F683+F627)*90,"0.00")</f>
        <v>18.335619059164028</v>
      </c>
      <c r="AO726" s="350">
        <f>IFERROR(AD726/(E726+E683+E627)*90,"0.00")</f>
        <v>47.433675281120543</v>
      </c>
      <c r="AP726" s="811">
        <f t="shared" si="137"/>
        <v>2.4011442369901919E-2</v>
      </c>
    </row>
    <row r="727" spans="1:42" x14ac:dyDescent="0.2">
      <c r="A727" s="638">
        <v>42822</v>
      </c>
      <c r="B727" s="807" t="s">
        <v>136</v>
      </c>
      <c r="C727" s="808" t="s">
        <v>194</v>
      </c>
      <c r="D727" s="807">
        <v>131451.25</v>
      </c>
      <c r="E727" s="807">
        <v>6690</v>
      </c>
      <c r="F727" s="807">
        <v>124761.25</v>
      </c>
      <c r="G727" s="807">
        <v>82373.680148050204</v>
      </c>
      <c r="H727" s="807">
        <v>38968.150041267298</v>
      </c>
      <c r="I727" s="807">
        <v>43405.530106782899</v>
      </c>
      <c r="J727" s="807">
        <v>6018.8500032424899</v>
      </c>
      <c r="K727" s="343">
        <f t="shared" si="142"/>
        <v>76354.830144807696</v>
      </c>
      <c r="L727" s="807">
        <v>51566.870005443699</v>
      </c>
      <c r="M727" s="807">
        <v>1993.7000033259401</v>
      </c>
      <c r="N727" s="809">
        <v>515</v>
      </c>
      <c r="O727" s="343">
        <f t="shared" si="127"/>
        <v>255.24514563106797</v>
      </c>
      <c r="P727" s="343">
        <f t="shared" si="128"/>
        <v>151.24403881792304</v>
      </c>
      <c r="Q727" s="343">
        <f t="shared" si="129"/>
        <v>159.9488934913596</v>
      </c>
      <c r="R727" s="344">
        <f t="shared" si="130"/>
        <v>0.62664813113644935</v>
      </c>
      <c r="S727" s="344">
        <f t="shared" si="131"/>
        <v>1.1461191423930281</v>
      </c>
      <c r="T727" s="343">
        <f t="shared" si="132"/>
        <v>95219.310000000012</v>
      </c>
      <c r="U727" s="807">
        <v>69460.930000000008</v>
      </c>
      <c r="V727" s="807">
        <v>1502.81</v>
      </c>
      <c r="W727" s="810">
        <f t="shared" si="138"/>
        <v>2.1635327946228185E-2</v>
      </c>
      <c r="X727" s="807">
        <v>847.31</v>
      </c>
      <c r="Y727" s="810">
        <f t="shared" si="139"/>
        <v>1.2198368204975083E-2</v>
      </c>
      <c r="Z727" s="807">
        <v>1607.84</v>
      </c>
      <c r="AA727" s="810">
        <f t="shared" si="140"/>
        <v>2.314740099218366E-2</v>
      </c>
      <c r="AB727" s="807">
        <v>3453.35</v>
      </c>
      <c r="AC727" s="810">
        <f t="shared" si="141"/>
        <v>4.9716437715417852E-2</v>
      </c>
      <c r="AD727" s="807">
        <v>25758.38</v>
      </c>
      <c r="AE727" s="807">
        <v>1414.71</v>
      </c>
      <c r="AF727" s="810">
        <f t="shared" si="133"/>
        <v>5.4922320425430479E-2</v>
      </c>
      <c r="AG727" s="807">
        <v>1393.44</v>
      </c>
      <c r="AH727" s="810">
        <f t="shared" si="134"/>
        <v>5.4096569737693133E-2</v>
      </c>
      <c r="AI727" s="807">
        <v>2395.33</v>
      </c>
      <c r="AJ727" s="810">
        <f t="shared" si="135"/>
        <v>9.299226115928097E-2</v>
      </c>
      <c r="AK727" s="807">
        <v>7635.86</v>
      </c>
      <c r="AL727" s="810">
        <f t="shared" si="136"/>
        <v>0.29644177933550164</v>
      </c>
      <c r="AM727" s="350">
        <f>IFERROR(T727/(D727+D684+D628)*90,"0.00")</f>
        <v>19.247577072151156</v>
      </c>
      <c r="AN727" s="350">
        <f>IFERROR(U727/(F727+F684+F628)*90,"0.00")</f>
        <v>15.015721331544571</v>
      </c>
      <c r="AO727" s="350">
        <f>IFERROR(AD727/(E727+E684+E628)*90,"0.00")</f>
        <v>80.1942092154421</v>
      </c>
      <c r="AP727" s="811">
        <f t="shared" si="137"/>
        <v>7.7273044784307257E-2</v>
      </c>
    </row>
    <row r="728" spans="1:42" x14ac:dyDescent="0.2">
      <c r="A728" s="638">
        <v>42822</v>
      </c>
      <c r="B728" s="807" t="s">
        <v>136</v>
      </c>
      <c r="C728" s="808" t="s">
        <v>195</v>
      </c>
      <c r="D728" s="807">
        <v>111417.680010319</v>
      </c>
      <c r="E728" s="807">
        <v>3671</v>
      </c>
      <c r="F728" s="807">
        <v>107746.680010319</v>
      </c>
      <c r="G728" s="807">
        <v>76132.850049138098</v>
      </c>
      <c r="H728" s="807">
        <v>43513.669993042902</v>
      </c>
      <c r="I728" s="807">
        <v>32619.180056095101</v>
      </c>
      <c r="J728" s="807">
        <v>5823.6800167560596</v>
      </c>
      <c r="K728" s="343">
        <f t="shared" si="142"/>
        <v>70309.170032381953</v>
      </c>
      <c r="L728" s="807">
        <v>50128.139966845498</v>
      </c>
      <c r="M728" s="807">
        <v>953.34000372886703</v>
      </c>
      <c r="N728" s="809">
        <v>517</v>
      </c>
      <c r="O728" s="343">
        <f t="shared" si="127"/>
        <v>215.50808512634237</v>
      </c>
      <c r="P728" s="343">
        <f t="shared" si="128"/>
        <v>116.70444881962213</v>
      </c>
      <c r="Q728" s="343">
        <f t="shared" si="129"/>
        <v>147.25889758053773</v>
      </c>
      <c r="R728" s="344">
        <f t="shared" si="130"/>
        <v>0.68331031522184749</v>
      </c>
      <c r="S728" s="344">
        <f t="shared" si="131"/>
        <v>1.3966121914200973</v>
      </c>
      <c r="T728" s="343">
        <f t="shared" si="132"/>
        <v>85482.19</v>
      </c>
      <c r="U728" s="807">
        <v>60812.73</v>
      </c>
      <c r="V728" s="807">
        <v>3000.5</v>
      </c>
      <c r="W728" s="810">
        <f t="shared" si="138"/>
        <v>4.9339998385206515E-2</v>
      </c>
      <c r="X728" s="807">
        <v>1535.29</v>
      </c>
      <c r="Y728" s="810">
        <f t="shared" si="139"/>
        <v>2.52461943412177E-2</v>
      </c>
      <c r="Z728" s="807">
        <v>1561.93</v>
      </c>
      <c r="AA728" s="810">
        <f t="shared" si="140"/>
        <v>2.5684260515849232E-2</v>
      </c>
      <c r="AB728" s="807">
        <v>7567.96</v>
      </c>
      <c r="AC728" s="810">
        <f t="shared" si="141"/>
        <v>0.12444697023139727</v>
      </c>
      <c r="AD728" s="807">
        <v>24669.46</v>
      </c>
      <c r="AE728" s="807">
        <v>1744.82</v>
      </c>
      <c r="AF728" s="810">
        <f t="shared" si="133"/>
        <v>7.0727936485030479E-2</v>
      </c>
      <c r="AG728" s="807">
        <v>1849.81</v>
      </c>
      <c r="AH728" s="810">
        <f t="shared" si="134"/>
        <v>7.4983805887927829E-2</v>
      </c>
      <c r="AI728" s="807">
        <v>1497.44</v>
      </c>
      <c r="AJ728" s="810">
        <f t="shared" si="135"/>
        <v>6.0700153144819552E-2</v>
      </c>
      <c r="AK728" s="807">
        <v>7830.17</v>
      </c>
      <c r="AL728" s="810">
        <f t="shared" si="136"/>
        <v>0.31740338053609607</v>
      </c>
      <c r="AM728" s="350">
        <f>IFERROR(T728/(D728+D685+D629)*90,"0.00")</f>
        <v>18.074366882239069</v>
      </c>
      <c r="AN728" s="350">
        <f>IFERROR(U728/(F728+F685+F629)*90,"0.00")</f>
        <v>13.266451239650905</v>
      </c>
      <c r="AO728" s="350">
        <f>IFERROR(AD728/(E728+E685+E629)*90,"0.00")</f>
        <v>169.523661907307</v>
      </c>
      <c r="AP728" s="811">
        <f t="shared" si="137"/>
        <v>9.6520497030304978E-2</v>
      </c>
    </row>
    <row r="729" spans="1:42" x14ac:dyDescent="0.2">
      <c r="A729" s="638">
        <v>42822</v>
      </c>
      <c r="B729" s="807" t="s">
        <v>136</v>
      </c>
      <c r="C729" s="808" t="s">
        <v>305</v>
      </c>
      <c r="D729" s="807">
        <v>70977.4800014496</v>
      </c>
      <c r="E729" s="807">
        <v>6792</v>
      </c>
      <c r="F729" s="807">
        <v>64185.4800014496</v>
      </c>
      <c r="G729" s="807">
        <v>40547.330067157702</v>
      </c>
      <c r="H729" s="807">
        <v>17517.840011119799</v>
      </c>
      <c r="I729" s="807">
        <v>23029.490056037899</v>
      </c>
      <c r="J729" s="807">
        <v>2591.3100140094798</v>
      </c>
      <c r="K729" s="343">
        <f t="shared" si="142"/>
        <v>37956.020053148219</v>
      </c>
      <c r="L729" s="807">
        <v>27320.729995727499</v>
      </c>
      <c r="M729" s="807">
        <v>0</v>
      </c>
      <c r="N729" s="809">
        <v>357</v>
      </c>
      <c r="O729" s="343">
        <f t="shared" si="127"/>
        <v>198.81647059229579</v>
      </c>
      <c r="P729" s="343">
        <f t="shared" si="128"/>
        <v>122.28781514207873</v>
      </c>
      <c r="Q729" s="343">
        <f t="shared" si="129"/>
        <v>113.57795537018964</v>
      </c>
      <c r="R729" s="344">
        <f t="shared" si="130"/>
        <v>0.57127035316454722</v>
      </c>
      <c r="S729" s="344">
        <f t="shared" si="131"/>
        <v>0.98738331003735802</v>
      </c>
      <c r="T729" s="343">
        <f t="shared" si="132"/>
        <v>62207.399999999994</v>
      </c>
      <c r="U729" s="807">
        <v>52178.729999999996</v>
      </c>
      <c r="V729" s="807">
        <v>2074.4899999999998</v>
      </c>
      <c r="W729" s="810">
        <f t="shared" si="138"/>
        <v>3.9757387732510925E-2</v>
      </c>
      <c r="X729" s="807">
        <v>4034.5</v>
      </c>
      <c r="Y729" s="810">
        <f t="shared" si="139"/>
        <v>7.7320778025835438E-2</v>
      </c>
      <c r="Z729" s="807">
        <v>336.83</v>
      </c>
      <c r="AA729" s="810">
        <f t="shared" si="140"/>
        <v>6.455312346620932E-3</v>
      </c>
      <c r="AB729" s="807">
        <v>729.88</v>
      </c>
      <c r="AC729" s="810">
        <f t="shared" si="141"/>
        <v>1.3988075217622201E-2</v>
      </c>
      <c r="AD729" s="807">
        <v>10028.669999999998</v>
      </c>
      <c r="AE729" s="807">
        <v>1016.57</v>
      </c>
      <c r="AF729" s="810">
        <f t="shared" si="133"/>
        <v>0.10136638258113989</v>
      </c>
      <c r="AG729" s="807">
        <v>988.97</v>
      </c>
      <c r="AH729" s="810">
        <f t="shared" si="134"/>
        <v>9.8614272879654047E-2</v>
      </c>
      <c r="AI729" s="807">
        <v>225.39</v>
      </c>
      <c r="AJ729" s="810">
        <f t="shared" si="135"/>
        <v>2.2474565420938172E-2</v>
      </c>
      <c r="AK729" s="807">
        <v>1013.72</v>
      </c>
      <c r="AL729" s="810">
        <f t="shared" si="136"/>
        <v>0.1010821973402256</v>
      </c>
      <c r="AM729" s="350">
        <f>IFERROR(T729/(D729+D686+D630)*90,"0.00")</f>
        <v>24.711746039643064</v>
      </c>
      <c r="AN729" s="350">
        <f>IFERROR(U729/(F729+F686+F630)*90,"0.00")</f>
        <v>22.05927099498421</v>
      </c>
      <c r="AO729" s="350">
        <f>IFERROR(AD729/(E729+E686+E630)*90,"0.00")</f>
        <v>66.007042562527417</v>
      </c>
      <c r="AP729" s="811">
        <f t="shared" si="137"/>
        <v>5.9356457218410347E-2</v>
      </c>
    </row>
    <row r="730" spans="1:42" x14ac:dyDescent="0.2">
      <c r="A730" s="638">
        <v>42822</v>
      </c>
      <c r="B730" s="807" t="s">
        <v>136</v>
      </c>
      <c r="C730" s="808" t="s">
        <v>196</v>
      </c>
      <c r="D730" s="807">
        <v>134808.170002956</v>
      </c>
      <c r="E730" s="807">
        <v>6944</v>
      </c>
      <c r="F730" s="807">
        <v>127864.170002956</v>
      </c>
      <c r="G730" s="807">
        <v>81587.690107822404</v>
      </c>
      <c r="H730" s="807">
        <v>38585.380006313302</v>
      </c>
      <c r="I730" s="807">
        <v>43002.310101509102</v>
      </c>
      <c r="J730" s="807">
        <v>5116.9800151586496</v>
      </c>
      <c r="K730" s="343">
        <f t="shared" si="142"/>
        <v>76470.71009266375</v>
      </c>
      <c r="L730" s="807">
        <v>60187.169999122598</v>
      </c>
      <c r="M730" s="807">
        <v>1015.09999608994</v>
      </c>
      <c r="N730" s="809">
        <v>606</v>
      </c>
      <c r="O730" s="343">
        <f t="shared" si="127"/>
        <v>222.45572607748514</v>
      </c>
      <c r="P730" s="343">
        <f t="shared" si="128"/>
        <v>121.46188120089683</v>
      </c>
      <c r="Q730" s="343">
        <f t="shared" si="129"/>
        <v>134.63315199310628</v>
      </c>
      <c r="R730" s="344">
        <f t="shared" si="130"/>
        <v>0.60521324565145718</v>
      </c>
      <c r="S730" s="344">
        <f t="shared" si="131"/>
        <v>1.1912538570714177</v>
      </c>
      <c r="T730" s="343">
        <f t="shared" si="132"/>
        <v>99749.079999999987</v>
      </c>
      <c r="U730" s="807">
        <v>71265.669999999984</v>
      </c>
      <c r="V730" s="807">
        <v>1367</v>
      </c>
      <c r="W730" s="810">
        <f t="shared" si="138"/>
        <v>1.9181746274187842E-2</v>
      </c>
      <c r="X730" s="807">
        <v>1588.5</v>
      </c>
      <c r="Y730" s="810">
        <f t="shared" si="139"/>
        <v>2.2289834642682801E-2</v>
      </c>
      <c r="Z730" s="807">
        <v>1252.6500000000001</v>
      </c>
      <c r="AA730" s="810">
        <f t="shared" si="140"/>
        <v>1.7577186883951282E-2</v>
      </c>
      <c r="AB730" s="807">
        <v>4174.68</v>
      </c>
      <c r="AC730" s="810">
        <f t="shared" si="141"/>
        <v>5.8579116705140093E-2</v>
      </c>
      <c r="AD730" s="807">
        <v>28483.410000000003</v>
      </c>
      <c r="AE730" s="807">
        <v>1228.32</v>
      </c>
      <c r="AF730" s="810">
        <f t="shared" si="133"/>
        <v>4.3124050104955826E-2</v>
      </c>
      <c r="AG730" s="807">
        <v>727.72</v>
      </c>
      <c r="AH730" s="810">
        <f t="shared" si="134"/>
        <v>2.554890724109227E-2</v>
      </c>
      <c r="AI730" s="807">
        <v>1483.22</v>
      </c>
      <c r="AJ730" s="810">
        <f t="shared" si="135"/>
        <v>5.2073119054214363E-2</v>
      </c>
      <c r="AK730" s="807">
        <v>9527.74</v>
      </c>
      <c r="AL730" s="810">
        <f t="shared" si="136"/>
        <v>0.33450138168147697</v>
      </c>
      <c r="AM730" s="350">
        <f>IFERROR(T730/(D730+D687+D640)*90,"0.00")</f>
        <v>19.605710938802734</v>
      </c>
      <c r="AN730" s="350">
        <f>IFERROR(U730/(F730+F687+F640)*90,"0.00")</f>
        <v>15.039920008945463</v>
      </c>
      <c r="AO730" s="350">
        <f>IFERROR(AD730/(E730+E687+E640)*90,"0.00")</f>
        <v>81.539072489583006</v>
      </c>
      <c r="AP730" s="811">
        <f t="shared" si="137"/>
        <v>6.951861215772559E-2</v>
      </c>
    </row>
    <row r="731" spans="1:42" x14ac:dyDescent="0.2">
      <c r="A731" s="638">
        <v>42822</v>
      </c>
      <c r="B731" s="807" t="s">
        <v>136</v>
      </c>
      <c r="C731" s="808" t="s">
        <v>326</v>
      </c>
      <c r="D731" s="807">
        <v>22689.870000610099</v>
      </c>
      <c r="E731" s="807">
        <v>542</v>
      </c>
      <c r="F731" s="807">
        <v>22147.870000610099</v>
      </c>
      <c r="G731" s="807">
        <v>8080.1100120544397</v>
      </c>
      <c r="H731" s="807">
        <v>2390.51999664307</v>
      </c>
      <c r="I731" s="807">
        <v>5689.5900154113797</v>
      </c>
      <c r="J731" s="807">
        <v>20</v>
      </c>
      <c r="K731" s="343">
        <f t="shared" si="142"/>
        <v>8060.1100120544497</v>
      </c>
      <c r="L731" s="807">
        <v>2520.8600044250502</v>
      </c>
      <c r="M731" s="807">
        <v>0</v>
      </c>
      <c r="N731" s="809">
        <v>90</v>
      </c>
      <c r="O731" s="343">
        <f t="shared" si="127"/>
        <v>252.10966667344553</v>
      </c>
      <c r="P731" s="343">
        <f t="shared" si="128"/>
        <v>224.10011106872278</v>
      </c>
      <c r="Q731" s="343">
        <f t="shared" si="129"/>
        <v>89.779000133938325</v>
      </c>
      <c r="R731" s="344">
        <f t="shared" si="130"/>
        <v>0.3561108993501147</v>
      </c>
      <c r="S731" s="344">
        <f t="shared" si="131"/>
        <v>0.4010177181699901</v>
      </c>
      <c r="T731" s="343">
        <f t="shared" si="132"/>
        <v>14039.65</v>
      </c>
      <c r="U731" s="807">
        <v>13674.49</v>
      </c>
      <c r="V731" s="807">
        <v>0</v>
      </c>
      <c r="W731" s="810">
        <f t="shared" si="138"/>
        <v>0</v>
      </c>
      <c r="X731" s="807">
        <v>0</v>
      </c>
      <c r="Y731" s="810">
        <f t="shared" si="139"/>
        <v>0</v>
      </c>
      <c r="Z731" s="807">
        <v>0</v>
      </c>
      <c r="AA731" s="810">
        <f t="shared" si="140"/>
        <v>0</v>
      </c>
      <c r="AB731" s="807">
        <v>0</v>
      </c>
      <c r="AC731" s="810">
        <f t="shared" si="141"/>
        <v>0</v>
      </c>
      <c r="AD731" s="807">
        <v>365.16</v>
      </c>
      <c r="AE731" s="807">
        <v>0</v>
      </c>
      <c r="AF731" s="810">
        <f t="shared" si="133"/>
        <v>0</v>
      </c>
      <c r="AG731" s="807">
        <v>0</v>
      </c>
      <c r="AH731" s="810">
        <f t="shared" si="134"/>
        <v>0</v>
      </c>
      <c r="AI731" s="807">
        <v>0</v>
      </c>
      <c r="AJ731" s="810">
        <f t="shared" si="135"/>
        <v>0</v>
      </c>
      <c r="AK731" s="807">
        <v>0</v>
      </c>
      <c r="AL731" s="810">
        <f t="shared" si="136"/>
        <v>0</v>
      </c>
      <c r="AM731" s="350">
        <f>IFERROR(T731/(D731)*30,"0.00")</f>
        <v>18.562887314412766</v>
      </c>
      <c r="AN731" s="350">
        <f>IFERROR(U731/(F731)*30,"0.00")</f>
        <v>18.522535123634889</v>
      </c>
      <c r="AO731" s="350">
        <f>IFERROR(AD731/(E731)*30,"0.00")</f>
        <v>20.21180811808118</v>
      </c>
      <c r="AP731" s="811">
        <f t="shared" si="137"/>
        <v>9.9162031273637035E-4</v>
      </c>
    </row>
    <row r="732" spans="1:42" x14ac:dyDescent="0.2">
      <c r="A732" s="638">
        <v>42822</v>
      </c>
      <c r="B732" s="807" t="s">
        <v>136</v>
      </c>
      <c r="C732" s="808" t="s">
        <v>290</v>
      </c>
      <c r="D732" s="807">
        <v>93233.870003223405</v>
      </c>
      <c r="E732" s="807">
        <v>4176</v>
      </c>
      <c r="F732" s="807">
        <v>89057.870003223405</v>
      </c>
      <c r="G732" s="807">
        <v>60869.280013680502</v>
      </c>
      <c r="H732" s="807">
        <v>31693.389966845501</v>
      </c>
      <c r="I732" s="807">
        <v>29175.890046834898</v>
      </c>
      <c r="J732" s="807">
        <v>4416.2199873924301</v>
      </c>
      <c r="K732" s="343">
        <f t="shared" si="142"/>
        <v>56453.060026287967</v>
      </c>
      <c r="L732" s="807">
        <v>43504.51014328</v>
      </c>
      <c r="M732" s="807">
        <v>0</v>
      </c>
      <c r="N732" s="809">
        <v>430</v>
      </c>
      <c r="O732" s="343">
        <f t="shared" si="127"/>
        <v>216.82295349586838</v>
      </c>
      <c r="P732" s="343">
        <f t="shared" si="128"/>
        <v>115.64967409289164</v>
      </c>
      <c r="Q732" s="343">
        <f t="shared" si="129"/>
        <v>141.55646514809396</v>
      </c>
      <c r="R732" s="344">
        <f t="shared" si="130"/>
        <v>0.65286660321593371</v>
      </c>
      <c r="S732" s="344">
        <f t="shared" si="131"/>
        <v>1.3433030724616097</v>
      </c>
      <c r="T732" s="343">
        <f t="shared" si="132"/>
        <v>75032.2</v>
      </c>
      <c r="U732" s="807">
        <v>55646.34</v>
      </c>
      <c r="V732" s="807">
        <v>4863.67</v>
      </c>
      <c r="W732" s="810">
        <f t="shared" si="138"/>
        <v>8.7403232629495495E-2</v>
      </c>
      <c r="X732" s="807">
        <v>1835.75</v>
      </c>
      <c r="Y732" s="810">
        <f t="shared" si="139"/>
        <v>3.2989591049474236E-2</v>
      </c>
      <c r="Z732" s="807">
        <v>425.39</v>
      </c>
      <c r="AA732" s="810">
        <f t="shared" si="140"/>
        <v>7.6445279240287866E-3</v>
      </c>
      <c r="AB732" s="807">
        <v>309.77999999999997</v>
      </c>
      <c r="AC732" s="810">
        <f t="shared" si="141"/>
        <v>5.5669429471911355E-3</v>
      </c>
      <c r="AD732" s="807">
        <v>19385.86</v>
      </c>
      <c r="AE732" s="807">
        <v>1601.61</v>
      </c>
      <c r="AF732" s="810">
        <f t="shared" si="133"/>
        <v>8.2617433531450235E-2</v>
      </c>
      <c r="AG732" s="807">
        <v>1571.51</v>
      </c>
      <c r="AH732" s="810">
        <f t="shared" si="134"/>
        <v>8.1064755445463862E-2</v>
      </c>
      <c r="AI732" s="807">
        <v>2105.5500000000002</v>
      </c>
      <c r="AJ732" s="810">
        <f t="shared" si="135"/>
        <v>0.10861266923417379</v>
      </c>
      <c r="AK732" s="807">
        <v>4315.3900000000003</v>
      </c>
      <c r="AL732" s="810">
        <f t="shared" si="136"/>
        <v>0.2226050327403582</v>
      </c>
      <c r="AM732" s="350">
        <f>IFERROR(T732/(D732+D688+D645)*90,"0.00")</f>
        <v>19.981365829446744</v>
      </c>
      <c r="AN732" s="350">
        <f>IFERROR(U732/(F732+F688+F645)*90,"0.00")</f>
        <v>15.562276536395547</v>
      </c>
      <c r="AO732" s="350">
        <f>IFERROR(AD732/(E732+E688+E645)*90,"0.00")</f>
        <v>108.06611334778569</v>
      </c>
      <c r="AP732" s="811">
        <f t="shared" si="137"/>
        <v>8.880508415612362E-2</v>
      </c>
    </row>
    <row r="733" spans="1:42" x14ac:dyDescent="0.2">
      <c r="A733" s="638">
        <v>42822</v>
      </c>
      <c r="B733" s="807" t="s">
        <v>137</v>
      </c>
      <c r="C733" s="808" t="s">
        <v>324</v>
      </c>
      <c r="D733" s="807">
        <v>60925</v>
      </c>
      <c r="E733" s="807">
        <v>2035</v>
      </c>
      <c r="F733" s="807">
        <v>58890</v>
      </c>
      <c r="G733" s="807">
        <v>33602.540034294099</v>
      </c>
      <c r="H733" s="807">
        <v>16610.700000762899</v>
      </c>
      <c r="I733" s="807">
        <v>16991.8400335312</v>
      </c>
      <c r="J733" s="807">
        <v>987.44999885559105</v>
      </c>
      <c r="K733" s="343">
        <f t="shared" si="142"/>
        <v>32615.090035438508</v>
      </c>
      <c r="L733" s="807">
        <v>21446.279975891099</v>
      </c>
      <c r="M733" s="807">
        <v>60</v>
      </c>
      <c r="N733" s="809">
        <v>262</v>
      </c>
      <c r="O733" s="343">
        <f t="shared" si="127"/>
        <v>232.53816793893131</v>
      </c>
      <c r="P733" s="343">
        <f t="shared" si="128"/>
        <v>150.45312986301107</v>
      </c>
      <c r="Q733" s="343">
        <f t="shared" si="129"/>
        <v>128.25396959654236</v>
      </c>
      <c r="R733" s="344">
        <f t="shared" si="130"/>
        <v>0.55153943429288632</v>
      </c>
      <c r="S733" s="344">
        <f t="shared" si="131"/>
        <v>0.87435413953829166</v>
      </c>
      <c r="T733" s="343">
        <f t="shared" si="132"/>
        <v>32529.159999999996</v>
      </c>
      <c r="U733" s="807">
        <v>27679.42</v>
      </c>
      <c r="V733" s="807">
        <v>0</v>
      </c>
      <c r="W733" s="810">
        <f t="shared" si="138"/>
        <v>0</v>
      </c>
      <c r="X733" s="807">
        <v>0</v>
      </c>
      <c r="Y733" s="810">
        <f t="shared" si="139"/>
        <v>0</v>
      </c>
      <c r="Z733" s="807">
        <v>0</v>
      </c>
      <c r="AA733" s="810">
        <f t="shared" si="140"/>
        <v>0</v>
      </c>
      <c r="AB733" s="807">
        <v>0</v>
      </c>
      <c r="AC733" s="810">
        <f t="shared" si="141"/>
        <v>0</v>
      </c>
      <c r="AD733" s="807">
        <v>4849.74</v>
      </c>
      <c r="AE733" s="807">
        <v>0</v>
      </c>
      <c r="AF733" s="810">
        <f t="shared" si="133"/>
        <v>0</v>
      </c>
      <c r="AG733" s="807">
        <v>0</v>
      </c>
      <c r="AH733" s="810">
        <f t="shared" si="134"/>
        <v>0</v>
      </c>
      <c r="AI733" s="807">
        <v>0</v>
      </c>
      <c r="AJ733" s="810">
        <f t="shared" si="135"/>
        <v>0</v>
      </c>
      <c r="AK733" s="807">
        <v>0</v>
      </c>
      <c r="AL733" s="810">
        <f t="shared" si="136"/>
        <v>0</v>
      </c>
      <c r="AM733" s="350">
        <f>IFERROR(T733/(D733+D689)*60,"0.00")</f>
        <v>18.756838667307004</v>
      </c>
      <c r="AN733" s="350">
        <f>IFERROR(U733/(F733+F689)*60,"0.00")</f>
        <v>16.617230171369343</v>
      </c>
      <c r="AO733" s="350">
        <f>IFERROR(AD733/(E733+E689)*60,"0.00")</f>
        <v>70.747483588621435</v>
      </c>
      <c r="AP733" s="811">
        <f t="shared" si="137"/>
        <v>2.5050280634471549E-2</v>
      </c>
    </row>
    <row r="734" spans="1:42" x14ac:dyDescent="0.2">
      <c r="A734" s="638">
        <v>42822</v>
      </c>
      <c r="B734" s="807" t="s">
        <v>137</v>
      </c>
      <c r="C734" s="808" t="s">
        <v>209</v>
      </c>
      <c r="D734" s="807">
        <v>92413.560001373306</v>
      </c>
      <c r="E734" s="807">
        <v>3839</v>
      </c>
      <c r="F734" s="807">
        <v>88574.560001373306</v>
      </c>
      <c r="G734" s="807">
        <v>60589.749983310699</v>
      </c>
      <c r="H734" s="807">
        <v>30610.969923019398</v>
      </c>
      <c r="I734" s="807">
        <v>29978.780060291301</v>
      </c>
      <c r="J734" s="807">
        <v>3523.8399810791002</v>
      </c>
      <c r="K734" s="343">
        <f t="shared" si="142"/>
        <v>57065.910002231598</v>
      </c>
      <c r="L734" s="807">
        <v>35958.330043792703</v>
      </c>
      <c r="M734" s="807">
        <v>2317.1900018453598</v>
      </c>
      <c r="N734" s="809">
        <v>384</v>
      </c>
      <c r="O734" s="343">
        <f t="shared" si="127"/>
        <v>240.66031250357631</v>
      </c>
      <c r="P734" s="343">
        <f t="shared" si="128"/>
        <v>140.98447905139386</v>
      </c>
      <c r="Q734" s="343">
        <f t="shared" si="129"/>
        <v>157.78580724820495</v>
      </c>
      <c r="R734" s="344">
        <f t="shared" si="130"/>
        <v>0.65563700805823633</v>
      </c>
      <c r="S734" s="344">
        <f t="shared" si="131"/>
        <v>1.1970899473596259</v>
      </c>
      <c r="T734" s="343">
        <f t="shared" si="132"/>
        <v>67538.100000000006</v>
      </c>
      <c r="U734" s="807">
        <v>50580.670000000006</v>
      </c>
      <c r="V734" s="807">
        <v>2342</v>
      </c>
      <c r="W734" s="810">
        <f t="shared" si="138"/>
        <v>4.6302273180643908E-2</v>
      </c>
      <c r="X734" s="807">
        <v>14.75</v>
      </c>
      <c r="Y734" s="810">
        <f t="shared" si="139"/>
        <v>2.9161337720516551E-4</v>
      </c>
      <c r="Z734" s="807">
        <v>775.4</v>
      </c>
      <c r="AA734" s="810">
        <f t="shared" si="140"/>
        <v>1.532996696168714E-2</v>
      </c>
      <c r="AB734" s="807">
        <v>4020.07</v>
      </c>
      <c r="AC734" s="810">
        <f t="shared" si="141"/>
        <v>7.9478385715333541E-2</v>
      </c>
      <c r="AD734" s="807">
        <v>16957.43</v>
      </c>
      <c r="AE734" s="807">
        <v>875.74</v>
      </c>
      <c r="AF734" s="810">
        <f t="shared" si="133"/>
        <v>5.1643438893747458E-2</v>
      </c>
      <c r="AG734" s="807">
        <v>254.09</v>
      </c>
      <c r="AH734" s="810">
        <f t="shared" si="134"/>
        <v>1.4983992267696224E-2</v>
      </c>
      <c r="AI734" s="807">
        <v>2163.4</v>
      </c>
      <c r="AJ734" s="810">
        <f t="shared" si="135"/>
        <v>0.12757829458827194</v>
      </c>
      <c r="AK734" s="807">
        <v>7420.86</v>
      </c>
      <c r="AL734" s="810">
        <f t="shared" si="136"/>
        <v>0.43761702097546618</v>
      </c>
      <c r="AM734" s="350">
        <f>IFERROR(T734/(D734+D690+D610)*90,"0.00")</f>
        <v>20.841388885715091</v>
      </c>
      <c r="AN734" s="350">
        <f>IFERROR(U734/(F734+F690+F610)*90,"0.00")</f>
        <v>16.495799355434393</v>
      </c>
      <c r="AO734" s="350">
        <f>IFERROR(AD734/(E734+E690+E610)*90,"0.00")</f>
        <v>97.288755020080316</v>
      </c>
      <c r="AP734" s="811">
        <f t="shared" si="137"/>
        <v>6.5089906911300982E-2</v>
      </c>
    </row>
    <row r="735" spans="1:42" x14ac:dyDescent="0.2">
      <c r="A735" s="638">
        <v>42822</v>
      </c>
      <c r="B735" s="807" t="s">
        <v>137</v>
      </c>
      <c r="C735" s="808" t="s">
        <v>197</v>
      </c>
      <c r="D735" s="807">
        <v>224420.42000202101</v>
      </c>
      <c r="E735" s="807">
        <v>11799.0099999998</v>
      </c>
      <c r="F735" s="807">
        <v>212621.410002021</v>
      </c>
      <c r="G735" s="807">
        <v>138232.51014878199</v>
      </c>
      <c r="H735" s="807">
        <v>69818.359977215499</v>
      </c>
      <c r="I735" s="807">
        <v>68414.150171566798</v>
      </c>
      <c r="J735" s="807">
        <v>8394.5099519491196</v>
      </c>
      <c r="K735" s="343">
        <f t="shared" si="142"/>
        <v>129838.00019683316</v>
      </c>
      <c r="L735" s="807">
        <v>86349.350145339995</v>
      </c>
      <c r="M735" s="807">
        <v>3859.9299724381399</v>
      </c>
      <c r="N735" s="809">
        <v>982</v>
      </c>
      <c r="O735" s="343">
        <f t="shared" si="127"/>
        <v>228.5340325886159</v>
      </c>
      <c r="P735" s="343">
        <f t="shared" si="128"/>
        <v>136.67122187804753</v>
      </c>
      <c r="Q735" s="343">
        <f t="shared" si="129"/>
        <v>140.76630361383124</v>
      </c>
      <c r="R735" s="344">
        <f t="shared" si="130"/>
        <v>0.61595335285237218</v>
      </c>
      <c r="S735" s="344">
        <f t="shared" si="131"/>
        <v>1.0986823460711843</v>
      </c>
      <c r="T735" s="343">
        <f t="shared" si="132"/>
        <v>178082.16999999998</v>
      </c>
      <c r="U735" s="807">
        <v>142131.25999999998</v>
      </c>
      <c r="V735" s="807">
        <v>5541.48</v>
      </c>
      <c r="W735" s="810">
        <f t="shared" si="138"/>
        <v>3.8988467420889676E-2</v>
      </c>
      <c r="X735" s="807">
        <v>8495.1200000000008</v>
      </c>
      <c r="Y735" s="810">
        <f t="shared" si="139"/>
        <v>5.9769539790191138E-2</v>
      </c>
      <c r="Z735" s="807">
        <v>4026.51</v>
      </c>
      <c r="AA735" s="810">
        <f t="shared" si="140"/>
        <v>2.8329517377106209E-2</v>
      </c>
      <c r="AB735" s="807">
        <v>12121.48</v>
      </c>
      <c r="AC735" s="810">
        <f t="shared" si="141"/>
        <v>8.5283701840115966E-2</v>
      </c>
      <c r="AD735" s="807">
        <v>35950.909999999996</v>
      </c>
      <c r="AE735" s="807">
        <v>2715.99</v>
      </c>
      <c r="AF735" s="810">
        <f t="shared" si="133"/>
        <v>7.5547183645699095E-2</v>
      </c>
      <c r="AG735" s="807">
        <v>2107.4899999999998</v>
      </c>
      <c r="AH735" s="810">
        <f t="shared" si="134"/>
        <v>5.8621325579797566E-2</v>
      </c>
      <c r="AI735" s="807">
        <v>2601.6799999999998</v>
      </c>
      <c r="AJ735" s="810">
        <f t="shared" si="135"/>
        <v>7.2367570111577156E-2</v>
      </c>
      <c r="AK735" s="807">
        <v>14294.22</v>
      </c>
      <c r="AL735" s="810">
        <f t="shared" si="136"/>
        <v>0.39760384368573704</v>
      </c>
      <c r="AM735" s="350">
        <f>IFERROR(T735/(D735+D691+D611)*90,"0.00")</f>
        <v>23.779855541522029</v>
      </c>
      <c r="AN735" s="350">
        <f>IFERROR(U735/(F735+F691+F611)*90,"0.00")</f>
        <v>19.909764740623608</v>
      </c>
      <c r="AO735" s="350">
        <f>IFERROR(AD735/(E735+E691+E611)*90,"0.00")</f>
        <v>102.71359235783298</v>
      </c>
      <c r="AP735" s="811">
        <f t="shared" si="137"/>
        <v>6.2547043108264977E-2</v>
      </c>
    </row>
    <row r="736" spans="1:42" x14ac:dyDescent="0.2">
      <c r="A736" s="638">
        <v>42822</v>
      </c>
      <c r="B736" s="807" t="s">
        <v>137</v>
      </c>
      <c r="C736" s="808" t="s">
        <v>199</v>
      </c>
      <c r="D736" s="807">
        <v>235958.07000806701</v>
      </c>
      <c r="E736" s="807">
        <v>11015</v>
      </c>
      <c r="F736" s="807">
        <v>224943.07000806701</v>
      </c>
      <c r="G736" s="807">
        <v>158792.00001609299</v>
      </c>
      <c r="H736" s="807">
        <v>87210.639905214295</v>
      </c>
      <c r="I736" s="807">
        <v>71581.360110878901</v>
      </c>
      <c r="J736" s="807">
        <v>5979.9400088787097</v>
      </c>
      <c r="K736" s="343">
        <f t="shared" si="142"/>
        <v>152812.06000721449</v>
      </c>
      <c r="L736" s="807">
        <v>92557.940151691393</v>
      </c>
      <c r="M736" s="807">
        <v>3784.7000041790302</v>
      </c>
      <c r="N736" s="809">
        <v>1092</v>
      </c>
      <c r="O736" s="343">
        <f t="shared" si="127"/>
        <v>216.07881868870604</v>
      </c>
      <c r="P736" s="343">
        <f t="shared" si="128"/>
        <v>127.85295774010677</v>
      </c>
      <c r="Q736" s="343">
        <f t="shared" si="129"/>
        <v>145.41391942865678</v>
      </c>
      <c r="R736" s="344">
        <f t="shared" si="130"/>
        <v>0.6729670233811641</v>
      </c>
      <c r="S736" s="344">
        <f t="shared" si="131"/>
        <v>1.1882472253610945</v>
      </c>
      <c r="T736" s="343">
        <f t="shared" si="132"/>
        <v>172235.55000000002</v>
      </c>
      <c r="U736" s="807">
        <v>129489.62000000001</v>
      </c>
      <c r="V736" s="807">
        <v>3064.55</v>
      </c>
      <c r="W736" s="810">
        <f t="shared" si="138"/>
        <v>2.3666375729575855E-2</v>
      </c>
      <c r="X736" s="807">
        <v>5363.21</v>
      </c>
      <c r="Y736" s="810">
        <f t="shared" si="139"/>
        <v>4.1418068876872133E-2</v>
      </c>
      <c r="Z736" s="807">
        <v>5210.79</v>
      </c>
      <c r="AA736" s="810">
        <f t="shared" si="140"/>
        <v>4.0240986111473642E-2</v>
      </c>
      <c r="AB736" s="807">
        <v>6466.25</v>
      </c>
      <c r="AC736" s="810">
        <f t="shared" si="141"/>
        <v>4.9936435059427922E-2</v>
      </c>
      <c r="AD736" s="807">
        <v>42745.93</v>
      </c>
      <c r="AE736" s="807">
        <v>4107.1099999999997</v>
      </c>
      <c r="AF736" s="810">
        <f t="shared" si="133"/>
        <v>9.6081895984015314E-2</v>
      </c>
      <c r="AG736" s="807">
        <v>2789.18</v>
      </c>
      <c r="AH736" s="810">
        <f t="shared" si="134"/>
        <v>6.5250188731418399E-2</v>
      </c>
      <c r="AI736" s="807">
        <v>3018.86</v>
      </c>
      <c r="AJ736" s="810">
        <f t="shared" si="135"/>
        <v>7.0623331858729002E-2</v>
      </c>
      <c r="AK736" s="807">
        <v>14267.21</v>
      </c>
      <c r="AL736" s="810">
        <f t="shared" si="136"/>
        <v>0.33376768267762569</v>
      </c>
      <c r="AM736" s="350">
        <f>IFERROR(T736/(D736+D692+D614)*90,"0.00")</f>
        <v>21.417004179897173</v>
      </c>
      <c r="AN736" s="350">
        <f>IFERROR(U736/(F736+F692+F614)*90,"0.00")</f>
        <v>16.862066685354417</v>
      </c>
      <c r="AO736" s="350">
        <f>IFERROR(AD736/(E736+E692+E614)*90,"0.00")</f>
        <v>117.86922699837618</v>
      </c>
      <c r="AP736" s="811">
        <f t="shared" si="137"/>
        <v>4.2831512356545066E-2</v>
      </c>
    </row>
    <row r="737" spans="1:42" x14ac:dyDescent="0.2">
      <c r="A737" s="638">
        <v>42822</v>
      </c>
      <c r="B737" s="807" t="s">
        <v>137</v>
      </c>
      <c r="C737" s="808" t="s">
        <v>201</v>
      </c>
      <c r="D737" s="807">
        <v>265481.790005585</v>
      </c>
      <c r="E737" s="807">
        <v>9048</v>
      </c>
      <c r="F737" s="807">
        <v>256433.790005585</v>
      </c>
      <c r="G737" s="807">
        <v>168479.05007239999</v>
      </c>
      <c r="H737" s="807">
        <v>102609.2400026</v>
      </c>
      <c r="I737" s="807">
        <v>65869.810069799394</v>
      </c>
      <c r="J737" s="807">
        <v>7735.3100371360797</v>
      </c>
      <c r="K737" s="343">
        <f t="shared" si="142"/>
        <v>160743.7400352633</v>
      </c>
      <c r="L737" s="807">
        <v>106541.180038437</v>
      </c>
      <c r="M737" s="807">
        <v>7892.4099932313002</v>
      </c>
      <c r="N737" s="809">
        <v>1199</v>
      </c>
      <c r="O737" s="343">
        <f t="shared" ref="O737:O741" si="143">IFERROR(SUM(E737:F737)/N737,"$0.00")</f>
        <v>221.41934112225604</v>
      </c>
      <c r="P737" s="343">
        <f t="shared" si="128"/>
        <v>125.9784820466361</v>
      </c>
      <c r="Q737" s="343">
        <f t="shared" si="129"/>
        <v>140.51630531476178</v>
      </c>
      <c r="R737" s="344">
        <f t="shared" si="130"/>
        <v>0.63461622007616814</v>
      </c>
      <c r="S737" s="344">
        <f t="shared" si="131"/>
        <v>1.1756029073638823</v>
      </c>
      <c r="T737" s="343">
        <f t="shared" si="132"/>
        <v>245484.30000000002</v>
      </c>
      <c r="U737" s="807">
        <v>193730.45</v>
      </c>
      <c r="V737" s="807">
        <v>6909.41</v>
      </c>
      <c r="W737" s="810">
        <f t="shared" si="138"/>
        <v>3.5665069688322094E-2</v>
      </c>
      <c r="X737" s="807">
        <v>4549.01</v>
      </c>
      <c r="Y737" s="810">
        <f t="shared" si="139"/>
        <v>2.348113061214693E-2</v>
      </c>
      <c r="Z737" s="807">
        <v>8201.4699999999993</v>
      </c>
      <c r="AA737" s="810">
        <f t="shared" si="140"/>
        <v>4.233443942343601E-2</v>
      </c>
      <c r="AB737" s="807">
        <v>9574.14</v>
      </c>
      <c r="AC737" s="810">
        <f t="shared" si="141"/>
        <v>4.941990275663944E-2</v>
      </c>
      <c r="AD737" s="807">
        <v>51753.850000000006</v>
      </c>
      <c r="AE737" s="807">
        <v>5010.1099999999997</v>
      </c>
      <c r="AF737" s="810">
        <f t="shared" si="133"/>
        <v>9.6806517775972212E-2</v>
      </c>
      <c r="AG737" s="807">
        <v>2745.69</v>
      </c>
      <c r="AH737" s="810">
        <f t="shared" si="134"/>
        <v>5.3052864666106959E-2</v>
      </c>
      <c r="AI737" s="807">
        <v>4970.8599999999997</v>
      </c>
      <c r="AJ737" s="810">
        <f t="shared" si="135"/>
        <v>9.6048120091548728E-2</v>
      </c>
      <c r="AK737" s="807">
        <v>20530.36</v>
      </c>
      <c r="AL737" s="810">
        <f t="shared" si="136"/>
        <v>0.39669241998421373</v>
      </c>
      <c r="AM737" s="350">
        <f>IFERROR(T737/(D737+D694+D616)*90,"0.00")</f>
        <v>26.947589787494618</v>
      </c>
      <c r="AN737" s="350">
        <f>IFERROR(U737/(F737+F694+F616)*90,"0.00")</f>
        <v>22.100225888924459</v>
      </c>
      <c r="AO737" s="350">
        <f>IFERROR(AD737/(E737+E694+E616)*90,"0.00")</f>
        <v>150.57855688100088</v>
      </c>
      <c r="AP737" s="811">
        <f t="shared" si="137"/>
        <v>5.1210872016163242E-2</v>
      </c>
    </row>
    <row r="738" spans="1:42" x14ac:dyDescent="0.2">
      <c r="A738" s="638">
        <v>42822</v>
      </c>
      <c r="B738" s="807" t="s">
        <v>137</v>
      </c>
      <c r="C738" s="808" t="s">
        <v>203</v>
      </c>
      <c r="D738" s="807">
        <v>201918.02000411801</v>
      </c>
      <c r="E738" s="807">
        <v>8130</v>
      </c>
      <c r="F738" s="807">
        <v>193788.02000411801</v>
      </c>
      <c r="G738" s="807">
        <v>126888.060031235</v>
      </c>
      <c r="H738" s="807">
        <v>64939.809917300903</v>
      </c>
      <c r="I738" s="807">
        <v>61948.2501139343</v>
      </c>
      <c r="J738" s="807">
        <v>6452.7099944353104</v>
      </c>
      <c r="K738" s="343">
        <f t="shared" si="142"/>
        <v>120435.35003679989</v>
      </c>
      <c r="L738" s="807">
        <v>70425.960093021393</v>
      </c>
      <c r="M738" s="807">
        <v>2740.79999101162</v>
      </c>
      <c r="N738" s="809">
        <v>1031</v>
      </c>
      <c r="O738" s="343">
        <f t="shared" si="143"/>
        <v>195.84677013008536</v>
      </c>
      <c r="P738" s="343">
        <f t="shared" si="128"/>
        <v>124.87998052384577</v>
      </c>
      <c r="Q738" s="343">
        <f t="shared" si="129"/>
        <v>123.07280313407877</v>
      </c>
      <c r="R738" s="344">
        <f t="shared" si="130"/>
        <v>0.62841374944468742</v>
      </c>
      <c r="S738" s="344">
        <f t="shared" si="131"/>
        <v>1.0375271015754126</v>
      </c>
      <c r="T738" s="343">
        <f t="shared" si="132"/>
        <v>142919.93</v>
      </c>
      <c r="U738" s="807">
        <v>110271.2</v>
      </c>
      <c r="V738" s="807">
        <v>3513.11</v>
      </c>
      <c r="W738" s="810">
        <f t="shared" si="138"/>
        <v>3.1858817170757191E-2</v>
      </c>
      <c r="X738" s="807">
        <v>3356.13</v>
      </c>
      <c r="Y738" s="810">
        <f t="shared" si="139"/>
        <v>3.0435236036245185E-2</v>
      </c>
      <c r="Z738" s="807">
        <v>3814.23</v>
      </c>
      <c r="AA738" s="810">
        <f t="shared" si="140"/>
        <v>3.4589539245061265E-2</v>
      </c>
      <c r="AB738" s="807">
        <v>5632.21</v>
      </c>
      <c r="AC738" s="810">
        <f t="shared" si="141"/>
        <v>5.1075983575040444E-2</v>
      </c>
      <c r="AD738" s="807">
        <v>32648.730000000003</v>
      </c>
      <c r="AE738" s="807">
        <v>3081.45</v>
      </c>
      <c r="AF738" s="810">
        <f t="shared" si="133"/>
        <v>9.4381925422520246E-2</v>
      </c>
      <c r="AG738" s="807">
        <v>1839.03</v>
      </c>
      <c r="AH738" s="810">
        <f t="shared" si="134"/>
        <v>5.6327765276015324E-2</v>
      </c>
      <c r="AI738" s="807">
        <v>3337.93</v>
      </c>
      <c r="AJ738" s="810">
        <f t="shared" si="135"/>
        <v>0.10223766743760015</v>
      </c>
      <c r="AK738" s="807">
        <v>10353.370000000001</v>
      </c>
      <c r="AL738" s="810">
        <f t="shared" si="136"/>
        <v>0.31711401944271644</v>
      </c>
      <c r="AM738" s="350">
        <f>IFERROR(T738/(D738+D695+D622)*90,"0.00")</f>
        <v>21.726012331390592</v>
      </c>
      <c r="AN738" s="350">
        <f>IFERROR(U738/(F738+F695+F622)*90,"0.00")</f>
        <v>17.686002847020827</v>
      </c>
      <c r="AO738" s="350">
        <f>IFERROR(AD738/(E738+E695+E622)*90,"0.00")</f>
        <v>95.090310993171741</v>
      </c>
      <c r="AP738" s="811">
        <f t="shared" si="137"/>
        <v>5.0117645438502598E-2</v>
      </c>
    </row>
    <row r="739" spans="1:42" x14ac:dyDescent="0.2">
      <c r="A739" s="638">
        <v>42822</v>
      </c>
      <c r="B739" s="807" t="s">
        <v>137</v>
      </c>
      <c r="C739" s="808" t="s">
        <v>204</v>
      </c>
      <c r="D739" s="807">
        <v>107032.220003853</v>
      </c>
      <c r="E739" s="807">
        <v>5466</v>
      </c>
      <c r="F739" s="807">
        <v>101566.220003853</v>
      </c>
      <c r="G739" s="807">
        <v>70340.110087037101</v>
      </c>
      <c r="H739" s="807">
        <v>37787.789995670297</v>
      </c>
      <c r="I739" s="807">
        <v>32552.320091366801</v>
      </c>
      <c r="J739" s="807">
        <v>3392.51998543739</v>
      </c>
      <c r="K739" s="343">
        <f t="shared" si="142"/>
        <v>66947.590101599708</v>
      </c>
      <c r="L739" s="807">
        <v>41239.320035934397</v>
      </c>
      <c r="M739" s="807">
        <v>2710.3299922943102</v>
      </c>
      <c r="N739" s="809">
        <v>550</v>
      </c>
      <c r="O739" s="343">
        <f t="shared" si="143"/>
        <v>194.60403637064181</v>
      </c>
      <c r="P739" s="343">
        <f t="shared" si="128"/>
        <v>114.69558177386236</v>
      </c>
      <c r="Q739" s="343">
        <f t="shared" si="129"/>
        <v>127.89110924915836</v>
      </c>
      <c r="R739" s="344">
        <f t="shared" si="130"/>
        <v>0.65718631347182155</v>
      </c>
      <c r="S739" s="344">
        <f t="shared" si="131"/>
        <v>1.1784227035929955</v>
      </c>
      <c r="T739" s="343">
        <f t="shared" si="132"/>
        <v>72167.62000000001</v>
      </c>
      <c r="U739" s="807">
        <v>54952.080000000009</v>
      </c>
      <c r="V739" s="807">
        <v>782.83</v>
      </c>
      <c r="W739" s="810">
        <f t="shared" si="138"/>
        <v>1.4245684603749302E-2</v>
      </c>
      <c r="X739" s="807">
        <v>1055.1600000000001</v>
      </c>
      <c r="Y739" s="810">
        <f t="shared" si="139"/>
        <v>1.9201456978516555E-2</v>
      </c>
      <c r="Z739" s="807">
        <v>769.92</v>
      </c>
      <c r="AA739" s="810">
        <f t="shared" si="140"/>
        <v>1.4010752641210303E-2</v>
      </c>
      <c r="AB739" s="807">
        <v>3457.44</v>
      </c>
      <c r="AC739" s="810">
        <f t="shared" si="141"/>
        <v>6.2917363637554749E-2</v>
      </c>
      <c r="AD739" s="807">
        <v>17215.54</v>
      </c>
      <c r="AE739" s="807">
        <v>1529.02</v>
      </c>
      <c r="AF739" s="810">
        <f t="shared" si="133"/>
        <v>8.8816267163272247E-2</v>
      </c>
      <c r="AG739" s="807">
        <v>1118.0999999999999</v>
      </c>
      <c r="AH739" s="810">
        <f t="shared" si="134"/>
        <v>6.4947134972240195E-2</v>
      </c>
      <c r="AI739" s="807">
        <v>948.58</v>
      </c>
      <c r="AJ739" s="810">
        <f t="shared" si="135"/>
        <v>5.5100217594103933E-2</v>
      </c>
      <c r="AK739" s="807">
        <v>6734.67</v>
      </c>
      <c r="AL739" s="810">
        <f t="shared" si="136"/>
        <v>0.39119713932876921</v>
      </c>
      <c r="AM739" s="350">
        <f>IFERROR(T739/(D739+D696+D623)*90,"0.00")</f>
        <v>20.932170896204468</v>
      </c>
      <c r="AN739" s="350">
        <f>IFERROR(U739/(F739+F696+F623)*90,"0.00")</f>
        <v>16.746816844544202</v>
      </c>
      <c r="AO739" s="350">
        <f>IFERROR(AD739/(E739+E696+E623)*90,"0.00")</f>
        <v>103.49332709905819</v>
      </c>
      <c r="AP739" s="811">
        <f t="shared" si="137"/>
        <v>5.3779038912781962E-2</v>
      </c>
    </row>
    <row r="740" spans="1:42" x14ac:dyDescent="0.2">
      <c r="A740" s="638">
        <v>42822</v>
      </c>
      <c r="B740" s="807" t="s">
        <v>137</v>
      </c>
      <c r="C740" s="808" t="s">
        <v>206</v>
      </c>
      <c r="D740" s="807">
        <v>170251.520006904</v>
      </c>
      <c r="E740" s="807">
        <v>7982</v>
      </c>
      <c r="F740" s="807">
        <v>162269.520006904</v>
      </c>
      <c r="G740" s="807">
        <v>113133.380046476</v>
      </c>
      <c r="H740" s="807">
        <v>61358.849992979303</v>
      </c>
      <c r="I740" s="807">
        <v>51774.530053496397</v>
      </c>
      <c r="J740" s="807">
        <v>4061.9800074100499</v>
      </c>
      <c r="K740" s="343">
        <f t="shared" si="142"/>
        <v>109071.40003906566</v>
      </c>
      <c r="L740" s="807">
        <v>71993.420008640707</v>
      </c>
      <c r="M740" s="807">
        <v>4151.6599978208496</v>
      </c>
      <c r="N740" s="809">
        <v>761</v>
      </c>
      <c r="O740" s="343">
        <f t="shared" si="143"/>
        <v>223.72078844534033</v>
      </c>
      <c r="P740" s="343">
        <f t="shared" si="128"/>
        <v>123.66155059190859</v>
      </c>
      <c r="Q740" s="343">
        <f t="shared" si="129"/>
        <v>148.66409992966584</v>
      </c>
      <c r="R740" s="344">
        <f t="shared" si="130"/>
        <v>0.66450731272113139</v>
      </c>
      <c r="S740" s="344">
        <f t="shared" si="131"/>
        <v>1.2564168862274252</v>
      </c>
      <c r="T740" s="343">
        <f t="shared" si="132"/>
        <v>142365.67000000001</v>
      </c>
      <c r="U740" s="807">
        <v>116186.66</v>
      </c>
      <c r="V740" s="807">
        <v>8561.76</v>
      </c>
      <c r="W740" s="810">
        <f t="shared" si="138"/>
        <v>7.3689698972326079E-2</v>
      </c>
      <c r="X740" s="807">
        <v>6101.39</v>
      </c>
      <c r="Y740" s="810">
        <f t="shared" si="139"/>
        <v>5.2513687888093179E-2</v>
      </c>
      <c r="Z740" s="807">
        <v>3468.33</v>
      </c>
      <c r="AA740" s="810">
        <f t="shared" si="140"/>
        <v>2.9851361593491024E-2</v>
      </c>
      <c r="AB740" s="807">
        <v>8525.4599999999991</v>
      </c>
      <c r="AC740" s="810">
        <f t="shared" si="141"/>
        <v>7.3377270678062337E-2</v>
      </c>
      <c r="AD740" s="807">
        <v>26179.010000000002</v>
      </c>
      <c r="AE740" s="807">
        <v>2694.37</v>
      </c>
      <c r="AF740" s="810">
        <f t="shared" si="133"/>
        <v>0.10292100427021494</v>
      </c>
      <c r="AG740" s="807">
        <v>1325.17</v>
      </c>
      <c r="AH740" s="810">
        <f t="shared" si="134"/>
        <v>5.0619561243912585E-2</v>
      </c>
      <c r="AI740" s="807">
        <v>3323.63</v>
      </c>
      <c r="AJ740" s="810">
        <f t="shared" si="135"/>
        <v>0.12695781849657417</v>
      </c>
      <c r="AK740" s="807">
        <v>7826.08</v>
      </c>
      <c r="AL740" s="810">
        <f t="shared" si="136"/>
        <v>0.29894484168805463</v>
      </c>
      <c r="AM740" s="350">
        <f>IFERROR(T740/(D740+D698+D633)*90,"0.00")</f>
        <v>23.842431517583229</v>
      </c>
      <c r="AN740" s="350">
        <f>IFERROR(U740/(F740+F698+F633)*90,"0.00")</f>
        <v>20.570423250834331</v>
      </c>
      <c r="AO740" s="350">
        <f>IFERROR(AD740/(E740+E698+E633)*90,"0.00")</f>
        <v>81.083037373528811</v>
      </c>
      <c r="AP740" s="811">
        <f t="shared" si="137"/>
        <v>4.3163677293402584E-2</v>
      </c>
    </row>
    <row r="741" spans="1:42" x14ac:dyDescent="0.2">
      <c r="A741" s="638">
        <v>42822</v>
      </c>
      <c r="B741" s="812" t="s">
        <v>137</v>
      </c>
      <c r="C741" s="813" t="s">
        <v>208</v>
      </c>
      <c r="D741" s="812">
        <v>155479.79000354701</v>
      </c>
      <c r="E741" s="812">
        <v>8601</v>
      </c>
      <c r="F741" s="812">
        <v>146878.79000354701</v>
      </c>
      <c r="G741" s="812">
        <v>101252.360075191</v>
      </c>
      <c r="H741" s="812">
        <v>56648.839982509598</v>
      </c>
      <c r="I741" s="812">
        <v>44603.520092681101</v>
      </c>
      <c r="J741" s="812">
        <v>4792.3699712753296</v>
      </c>
      <c r="K741" s="343">
        <f t="shared" si="142"/>
        <v>96459.990103915363</v>
      </c>
      <c r="L741" s="812">
        <v>63825.520050048799</v>
      </c>
      <c r="M741" s="812">
        <v>6260.0300049036696</v>
      </c>
      <c r="N741" s="814">
        <v>769</v>
      </c>
      <c r="O741" s="343">
        <f t="shared" si="143"/>
        <v>202.18438231930691</v>
      </c>
      <c r="P741" s="343">
        <f t="shared" si="128"/>
        <v>111.04582568087716</v>
      </c>
      <c r="Q741" s="343">
        <f t="shared" si="129"/>
        <v>131.66756836825837</v>
      </c>
      <c r="R741" s="344">
        <f t="shared" si="130"/>
        <v>0.65122521758539031</v>
      </c>
      <c r="S741" s="344">
        <f t="shared" si="131"/>
        <v>1.2562036104581988</v>
      </c>
      <c r="T741" s="343">
        <f t="shared" si="132"/>
        <v>120483.69</v>
      </c>
      <c r="U741" s="812">
        <v>89624.010000000009</v>
      </c>
      <c r="V741" s="812">
        <v>2823.74</v>
      </c>
      <c r="W741" s="815">
        <f t="shared" si="138"/>
        <v>3.150651259634555E-2</v>
      </c>
      <c r="X741" s="812">
        <v>1572.61</v>
      </c>
      <c r="Y741" s="815">
        <f t="shared" si="139"/>
        <v>1.7546748912484499E-2</v>
      </c>
      <c r="Z741" s="812">
        <v>389.91</v>
      </c>
      <c r="AA741" s="815">
        <f t="shared" si="140"/>
        <v>4.3505083068700002E-3</v>
      </c>
      <c r="AB741" s="812">
        <v>1705.63</v>
      </c>
      <c r="AC741" s="815">
        <f t="shared" si="141"/>
        <v>1.9030949407418837E-2</v>
      </c>
      <c r="AD741" s="812">
        <v>30859.68</v>
      </c>
      <c r="AE741" s="812">
        <v>2627.92</v>
      </c>
      <c r="AF741" s="815">
        <f t="shared" si="133"/>
        <v>8.5157072270354073E-2</v>
      </c>
      <c r="AG741" s="812">
        <v>2170.98</v>
      </c>
      <c r="AH741" s="815">
        <f t="shared" si="134"/>
        <v>7.0350048995971443E-2</v>
      </c>
      <c r="AI741" s="812">
        <v>2807.74</v>
      </c>
      <c r="AJ741" s="815">
        <f t="shared" si="135"/>
        <v>9.0984093159747592E-2</v>
      </c>
      <c r="AK741" s="812">
        <v>14668.6</v>
      </c>
      <c r="AL741" s="815">
        <f t="shared" si="136"/>
        <v>0.47533221342541465</v>
      </c>
      <c r="AM741" s="350">
        <f>IFERROR(T741/(D741+D699+D637)*90,"0.00")</f>
        <v>23.182566957498377</v>
      </c>
      <c r="AN741" s="350">
        <f>IFERROR(U741/(F741+F699+F637)*90,"0.00")</f>
        <v>18.043524380390739</v>
      </c>
      <c r="AO741" s="350">
        <f>IFERROR(AD741/(E741+E699+E637)*90,"0.00")</f>
        <v>134.13364242248625</v>
      </c>
      <c r="AP741" s="816">
        <f t="shared" si="137"/>
        <v>5.6120529606683442E-2</v>
      </c>
    </row>
    <row r="742" spans="1:42" x14ac:dyDescent="0.2">
      <c r="A742" s="638">
        <v>42853</v>
      </c>
      <c r="B742" s="826" t="s">
        <v>133</v>
      </c>
      <c r="C742" s="826" t="s">
        <v>162</v>
      </c>
      <c r="D742" s="826">
        <v>179858.08000591199</v>
      </c>
      <c r="E742" s="826">
        <v>10047</v>
      </c>
      <c r="F742" s="826">
        <v>169811.08000591199</v>
      </c>
      <c r="G742" s="826">
        <v>101912.940110564</v>
      </c>
      <c r="H742" s="826">
        <v>49000.050061941103</v>
      </c>
      <c r="I742" s="826">
        <v>52912.8900486231</v>
      </c>
      <c r="J742" s="826">
        <v>4645.5600214004498</v>
      </c>
      <c r="K742" s="343">
        <f t="shared" si="142"/>
        <v>97267.380089163751</v>
      </c>
      <c r="L742" s="826">
        <v>50527.169920444503</v>
      </c>
      <c r="M742" s="826">
        <v>3617.2400055825701</v>
      </c>
      <c r="N742" s="827">
        <v>972</v>
      </c>
      <c r="O742" s="343">
        <f t="shared" ref="O742:O787" si="144">IFERROR(SUM(E742:F742)/N742,"$0.00")</f>
        <v>185.03917696081481</v>
      </c>
      <c r="P742" s="343">
        <f t="shared" ref="P742:P787" si="145">IFERROR((E742+F742-L742-M742)/N742,"$0.00")</f>
        <v>129.33505152251536</v>
      </c>
      <c r="Q742" s="343">
        <f t="shared" ref="Q742:Q787" si="146">IFERROR((H742+I742)/N742,"$0.00")</f>
        <v>104.84870381745289</v>
      </c>
      <c r="R742" s="344">
        <f t="shared" ref="R742:R787" si="147">IFERROR((H742+I742)/(E742+F742),"0.00%")</f>
        <v>0.56662975667934568</v>
      </c>
      <c r="S742" s="344">
        <f t="shared" ref="S742:S787" si="148">IFERROR((H742+I742)/(F742+E742-L742-M742-J742),"0.00%")</f>
        <v>0.84178187023265694</v>
      </c>
      <c r="T742" s="343">
        <f t="shared" ref="T742:T787" si="149">+U742+AD742</f>
        <v>156530.09</v>
      </c>
      <c r="U742" s="826">
        <v>121944.3</v>
      </c>
      <c r="V742" s="826">
        <v>1378.71</v>
      </c>
      <c r="W742" s="815">
        <f t="shared" si="138"/>
        <v>1.1306063506043332E-2</v>
      </c>
      <c r="X742" s="826">
        <v>4004.36</v>
      </c>
      <c r="Y742" s="815">
        <f t="shared" si="139"/>
        <v>3.2837615206286808E-2</v>
      </c>
      <c r="Z742" s="826">
        <v>843.37</v>
      </c>
      <c r="AA742" s="815">
        <f t="shared" si="140"/>
        <v>6.9160264153388063E-3</v>
      </c>
      <c r="AB742" s="826">
        <v>1869.46</v>
      </c>
      <c r="AC742" s="815">
        <f t="shared" si="141"/>
        <v>1.5330441849270527E-2</v>
      </c>
      <c r="AD742" s="826">
        <v>34585.79</v>
      </c>
      <c r="AE742" s="826">
        <v>5205.6099999999997</v>
      </c>
      <c r="AF742" s="815">
        <f t="shared" si="133"/>
        <v>0.15051297078944847</v>
      </c>
      <c r="AG742" s="826">
        <v>1734.13</v>
      </c>
      <c r="AH742" s="815">
        <f t="shared" si="134"/>
        <v>5.0139956323102641E-2</v>
      </c>
      <c r="AI742" s="826">
        <v>3527.44</v>
      </c>
      <c r="AJ742" s="815">
        <f t="shared" si="135"/>
        <v>0.10199102001139775</v>
      </c>
      <c r="AK742" s="826">
        <v>11933.17</v>
      </c>
      <c r="AL742" s="815">
        <f t="shared" si="136"/>
        <v>0.34503100839969247</v>
      </c>
      <c r="AM742" s="350">
        <f>IFERROR(T742/(D742+D700+D651)*90,"0.00")</f>
        <v>26.006976356300711</v>
      </c>
      <c r="AN742" s="350">
        <f>IFERROR(U742/(F742+F700+F651)*90,"0.00")</f>
        <v>21.375379015817046</v>
      </c>
      <c r="AO742" s="350">
        <f>IFERROR(AD742/(E742+E700+E651)*90,"0.00")</f>
        <v>110.1887181847145</v>
      </c>
      <c r="AP742" s="816">
        <f t="shared" ref="AP742:AP787" si="150">IFERROR(J742/(D742-L742-M742),"0.00%")</f>
        <v>3.6953499316728422E-2</v>
      </c>
    </row>
    <row r="743" spans="1:42" x14ac:dyDescent="0.2">
      <c r="A743" s="638">
        <v>42853</v>
      </c>
      <c r="B743" s="826" t="s">
        <v>133</v>
      </c>
      <c r="C743" s="826" t="s">
        <v>164</v>
      </c>
      <c r="D743" s="826">
        <v>214490.600018842</v>
      </c>
      <c r="E743" s="826">
        <v>16946</v>
      </c>
      <c r="F743" s="826">
        <v>197544.600018842</v>
      </c>
      <c r="G743" s="826">
        <v>129705.04012571499</v>
      </c>
      <c r="H743" s="826">
        <v>56807.170016156502</v>
      </c>
      <c r="I743" s="826">
        <v>72897.870109558105</v>
      </c>
      <c r="J743" s="826">
        <v>6301.8999863863</v>
      </c>
      <c r="K743" s="343">
        <f t="shared" si="142"/>
        <v>123403.14013932832</v>
      </c>
      <c r="L743" s="826">
        <v>67860.210058821394</v>
      </c>
      <c r="M743" s="826">
        <v>3014.8299859762201</v>
      </c>
      <c r="N743" s="827">
        <v>1019</v>
      </c>
      <c r="O743" s="343">
        <f t="shared" si="144"/>
        <v>210.49126596549755</v>
      </c>
      <c r="P743" s="343">
        <f t="shared" si="145"/>
        <v>140.93774285970989</v>
      </c>
      <c r="Q743" s="343">
        <f t="shared" si="146"/>
        <v>127.28659482405752</v>
      </c>
      <c r="R743" s="344">
        <f t="shared" si="147"/>
        <v>0.6047120018980815</v>
      </c>
      <c r="S743" s="344">
        <f t="shared" si="148"/>
        <v>0.94458949049477414</v>
      </c>
      <c r="T743" s="343">
        <f t="shared" si="149"/>
        <v>190831.90999999997</v>
      </c>
      <c r="U743" s="826">
        <v>150348.96</v>
      </c>
      <c r="V743" s="826">
        <v>5130.01</v>
      </c>
      <c r="W743" s="815">
        <f t="shared" si="138"/>
        <v>3.4120688297411571E-2</v>
      </c>
      <c r="X743" s="826">
        <v>4089.05</v>
      </c>
      <c r="Y743" s="815">
        <f t="shared" si="139"/>
        <v>2.7197062088091601E-2</v>
      </c>
      <c r="Z743" s="826">
        <v>1662.43</v>
      </c>
      <c r="AA743" s="815">
        <f t="shared" si="140"/>
        <v>1.1057143328427414E-2</v>
      </c>
      <c r="AB743" s="826">
        <v>9809.69</v>
      </c>
      <c r="AC743" s="815">
        <f t="shared" si="141"/>
        <v>6.524614470229792E-2</v>
      </c>
      <c r="AD743" s="826">
        <v>40482.949999999997</v>
      </c>
      <c r="AE743" s="826">
        <v>2760.04</v>
      </c>
      <c r="AF743" s="815">
        <f t="shared" si="133"/>
        <v>6.8177837830494081E-2</v>
      </c>
      <c r="AG743" s="826">
        <v>3414.71</v>
      </c>
      <c r="AH743" s="815">
        <f t="shared" si="134"/>
        <v>8.4349337190101029E-2</v>
      </c>
      <c r="AI743" s="826">
        <v>3131.33</v>
      </c>
      <c r="AJ743" s="815">
        <f t="shared" si="135"/>
        <v>7.7349353246243174E-2</v>
      </c>
      <c r="AK743" s="826">
        <v>14558.06</v>
      </c>
      <c r="AL743" s="815">
        <f t="shared" si="136"/>
        <v>0.35960966283336565</v>
      </c>
      <c r="AM743" s="350">
        <f>IFERROR(T743/(D743+D701+D652)*90,"0.00")</f>
        <v>26.348828287052946</v>
      </c>
      <c r="AN743" s="350">
        <f>IFERROR(U743/(F743+F701+F652)*90,"0.00")</f>
        <v>22.521939755444496</v>
      </c>
      <c r="AO743" s="350">
        <f>IFERROR(AD743/(E743+E701+E652)*90,"0.00")</f>
        <v>71.41698840720322</v>
      </c>
      <c r="AP743" s="816">
        <f t="shared" si="150"/>
        <v>4.3880342683795828E-2</v>
      </c>
    </row>
    <row r="744" spans="1:42" x14ac:dyDescent="0.2">
      <c r="A744" s="638">
        <v>42853</v>
      </c>
      <c r="B744" s="826" t="s">
        <v>133</v>
      </c>
      <c r="C744" s="826" t="s">
        <v>317</v>
      </c>
      <c r="D744" s="826">
        <v>154318.180003891</v>
      </c>
      <c r="E744" s="826">
        <v>12501</v>
      </c>
      <c r="F744" s="826">
        <v>141817.180003891</v>
      </c>
      <c r="G744" s="826">
        <v>87070.010143741994</v>
      </c>
      <c r="H744" s="826">
        <v>39652.080055698803</v>
      </c>
      <c r="I744" s="826">
        <v>47417.930088043198</v>
      </c>
      <c r="J744" s="826">
        <v>2848.2000055313101</v>
      </c>
      <c r="K744" s="343">
        <f t="shared" si="142"/>
        <v>84221.810138210683</v>
      </c>
      <c r="L744" s="826">
        <v>53985.9899862409</v>
      </c>
      <c r="M744" s="826">
        <v>30</v>
      </c>
      <c r="N744" s="827">
        <v>697</v>
      </c>
      <c r="O744" s="343">
        <f t="shared" si="144"/>
        <v>221.40341463972885</v>
      </c>
      <c r="P744" s="343">
        <f t="shared" si="145"/>
        <v>143.90558108701595</v>
      </c>
      <c r="Q744" s="343">
        <f t="shared" si="146"/>
        <v>124.9211049408063</v>
      </c>
      <c r="R744" s="344">
        <f t="shared" si="147"/>
        <v>0.56422393098173262</v>
      </c>
      <c r="S744" s="344">
        <f t="shared" si="148"/>
        <v>0.89344736047148487</v>
      </c>
      <c r="T744" s="343">
        <f t="shared" si="149"/>
        <v>108662.95000000001</v>
      </c>
      <c r="U744" s="826">
        <v>89495.16</v>
      </c>
      <c r="V744" s="826">
        <v>-5.76</v>
      </c>
      <c r="W744" s="815">
        <f t="shared" si="138"/>
        <v>-6.4361022428475461E-5</v>
      </c>
      <c r="X744" s="826">
        <v>0</v>
      </c>
      <c r="Y744" s="815">
        <f t="shared" si="139"/>
        <v>0</v>
      </c>
      <c r="Z744" s="826">
        <v>0</v>
      </c>
      <c r="AA744" s="815">
        <f t="shared" si="140"/>
        <v>0</v>
      </c>
      <c r="AB744" s="826">
        <v>0</v>
      </c>
      <c r="AC744" s="815">
        <f t="shared" si="141"/>
        <v>0</v>
      </c>
      <c r="AD744" s="826">
        <v>19167.79</v>
      </c>
      <c r="AE744" s="826">
        <v>1992.5</v>
      </c>
      <c r="AF744" s="815">
        <f t="shared" si="133"/>
        <v>0.10395042934005433</v>
      </c>
      <c r="AG744" s="826">
        <v>0</v>
      </c>
      <c r="AH744" s="815">
        <f t="shared" si="134"/>
        <v>0</v>
      </c>
      <c r="AI744" s="826">
        <v>0</v>
      </c>
      <c r="AJ744" s="815">
        <f t="shared" si="135"/>
        <v>0</v>
      </c>
      <c r="AK744" s="826">
        <v>0</v>
      </c>
      <c r="AL744" s="815">
        <f t="shared" si="136"/>
        <v>0</v>
      </c>
      <c r="AM744" s="350">
        <f>IFERROR(T744/(D744+D702+D653)*90,"0.00")</f>
        <v>20.446368907488196</v>
      </c>
      <c r="AN744" s="350">
        <f>IFERROR(U744/(F744+F702+F653)*90,"0.00")</f>
        <v>18.118703971735297</v>
      </c>
      <c r="AO744" s="350">
        <f>IFERROR(AD744/(E744+E702+E653)*90,"0.00")</f>
        <v>51.092912569600756</v>
      </c>
      <c r="AP744" s="816">
        <f t="shared" si="150"/>
        <v>2.8396189604933994E-2</v>
      </c>
    </row>
    <row r="745" spans="1:42" x14ac:dyDescent="0.2">
      <c r="A745" s="638">
        <v>42853</v>
      </c>
      <c r="B745" s="826" t="s">
        <v>133</v>
      </c>
      <c r="C745" s="826" t="s">
        <v>166</v>
      </c>
      <c r="D745" s="826">
        <v>308305.70000990998</v>
      </c>
      <c r="E745" s="826">
        <v>20523.009999999798</v>
      </c>
      <c r="F745" s="826">
        <v>287782.69000991102</v>
      </c>
      <c r="G745" s="826">
        <v>180975.190180598</v>
      </c>
      <c r="H745" s="826">
        <v>84816.140069047004</v>
      </c>
      <c r="I745" s="826">
        <v>96159.050111550794</v>
      </c>
      <c r="J745" s="826">
        <v>9430.7900378704107</v>
      </c>
      <c r="K745" s="343">
        <f t="shared" si="142"/>
        <v>171544.40014272739</v>
      </c>
      <c r="L745" s="826">
        <v>92585.060073813394</v>
      </c>
      <c r="M745" s="826">
        <v>4272.3099888078896</v>
      </c>
      <c r="N745" s="827">
        <v>1447</v>
      </c>
      <c r="O745" s="343">
        <f t="shared" si="144"/>
        <v>213.06544575667644</v>
      </c>
      <c r="P745" s="343">
        <f t="shared" si="145"/>
        <v>146.12876983226641</v>
      </c>
      <c r="Q745" s="343">
        <f t="shared" si="146"/>
        <v>125.06923993130462</v>
      </c>
      <c r="R745" s="344">
        <f t="shared" si="147"/>
        <v>0.58699917054657169</v>
      </c>
      <c r="S745" s="344">
        <f t="shared" si="148"/>
        <v>0.8958389962660851</v>
      </c>
      <c r="T745" s="343">
        <f t="shared" si="149"/>
        <v>300124.18</v>
      </c>
      <c r="U745" s="826">
        <v>238179.29</v>
      </c>
      <c r="V745" s="826">
        <v>11517.06</v>
      </c>
      <c r="W745" s="815">
        <f t="shared" si="138"/>
        <v>4.8354581962184867E-2</v>
      </c>
      <c r="X745" s="826">
        <v>5513.34</v>
      </c>
      <c r="Y745" s="815">
        <f t="shared" si="139"/>
        <v>2.3147856390032903E-2</v>
      </c>
      <c r="Z745" s="826">
        <v>6611.35</v>
      </c>
      <c r="AA745" s="815">
        <f t="shared" si="140"/>
        <v>2.7757870971905241E-2</v>
      </c>
      <c r="AB745" s="826">
        <v>12186.54</v>
      </c>
      <c r="AC745" s="815">
        <f t="shared" si="141"/>
        <v>5.1165405690813841E-2</v>
      </c>
      <c r="AD745" s="826">
        <v>61944.89</v>
      </c>
      <c r="AE745" s="826">
        <v>7467.03</v>
      </c>
      <c r="AF745" s="815">
        <f t="shared" si="133"/>
        <v>0.12054311501723548</v>
      </c>
      <c r="AG745" s="826">
        <v>6486.27</v>
      </c>
      <c r="AH745" s="815">
        <f t="shared" si="134"/>
        <v>0.10471033203868794</v>
      </c>
      <c r="AI745" s="826">
        <v>4133.6499999999996</v>
      </c>
      <c r="AJ745" s="815">
        <f t="shared" si="135"/>
        <v>6.6731089521669978E-2</v>
      </c>
      <c r="AK745" s="826">
        <v>17880.45</v>
      </c>
      <c r="AL745" s="815">
        <f t="shared" si="136"/>
        <v>0.28865092826865946</v>
      </c>
      <c r="AM745" s="350">
        <f>IFERROR(T745/(D745+D703+D655)*90,"0.00")</f>
        <v>28.245589526268677</v>
      </c>
      <c r="AN745" s="350">
        <f>IFERROR(U745/(F745+F703+F655)*90,"0.00")</f>
        <v>23.915767874091753</v>
      </c>
      <c r="AO745" s="350">
        <f>IFERROR(AD745/(E745+E703+E655)*90,"0.00")</f>
        <v>92.949851956543114</v>
      </c>
      <c r="AP745" s="816">
        <f>IFERROR(J745/(D745-L745-M745),"0.00%")</f>
        <v>4.460091995156161E-2</v>
      </c>
    </row>
    <row r="746" spans="1:42" x14ac:dyDescent="0.2">
      <c r="A746" s="638">
        <v>42853</v>
      </c>
      <c r="B746" s="826" t="s">
        <v>133</v>
      </c>
      <c r="C746" s="826" t="s">
        <v>169</v>
      </c>
      <c r="D746" s="826">
        <v>228435.02001243501</v>
      </c>
      <c r="E746" s="826">
        <v>13160</v>
      </c>
      <c r="F746" s="826">
        <v>215275.02001243501</v>
      </c>
      <c r="G746" s="826">
        <v>137609.510162052</v>
      </c>
      <c r="H746" s="826">
        <v>76515.180073976502</v>
      </c>
      <c r="I746" s="826">
        <v>61094.330088075301</v>
      </c>
      <c r="J746" s="826">
        <v>7726.0600123405502</v>
      </c>
      <c r="K746" s="343">
        <f t="shared" si="142"/>
        <v>129883.45014971125</v>
      </c>
      <c r="L746" s="826">
        <v>79100.820003032699</v>
      </c>
      <c r="M746" s="826">
        <v>2684.6199964284901</v>
      </c>
      <c r="N746" s="827">
        <v>1121</v>
      </c>
      <c r="O746" s="343">
        <f t="shared" si="144"/>
        <v>203.77789474793488</v>
      </c>
      <c r="P746" s="343">
        <f t="shared" si="145"/>
        <v>130.82032115341107</v>
      </c>
      <c r="Q746" s="343">
        <f t="shared" si="146"/>
        <v>122.75603047462248</v>
      </c>
      <c r="R746" s="344">
        <f t="shared" si="147"/>
        <v>0.60240111238005856</v>
      </c>
      <c r="S746" s="344">
        <f t="shared" si="148"/>
        <v>0.99054148758557603</v>
      </c>
      <c r="T746" s="343">
        <f t="shared" si="149"/>
        <v>235333.81</v>
      </c>
      <c r="U746" s="826">
        <v>188229.19</v>
      </c>
      <c r="V746" s="826">
        <v>6418.33</v>
      </c>
      <c r="W746" s="815">
        <f t="shared" si="138"/>
        <v>3.4098483874897403E-2</v>
      </c>
      <c r="X746" s="826">
        <v>4095.45</v>
      </c>
      <c r="Y746" s="815">
        <f t="shared" si="139"/>
        <v>2.1757783689129194E-2</v>
      </c>
      <c r="Z746" s="826">
        <v>2692.69</v>
      </c>
      <c r="AA746" s="815">
        <f t="shared" si="140"/>
        <v>1.4305379521635301E-2</v>
      </c>
      <c r="AB746" s="826">
        <v>7494.59</v>
      </c>
      <c r="AC746" s="815">
        <f t="shared" si="141"/>
        <v>3.9816300542971042E-2</v>
      </c>
      <c r="AD746" s="826">
        <v>47104.62</v>
      </c>
      <c r="AE746" s="826">
        <v>5561.89</v>
      </c>
      <c r="AF746" s="815">
        <f t="shared" si="133"/>
        <v>0.11807525461409094</v>
      </c>
      <c r="AG746" s="826">
        <v>3740.88</v>
      </c>
      <c r="AH746" s="815">
        <f t="shared" si="134"/>
        <v>7.9416413931372332E-2</v>
      </c>
      <c r="AI746" s="826">
        <v>2783.15</v>
      </c>
      <c r="AJ746" s="815">
        <f t="shared" si="135"/>
        <v>5.9084438002047358E-2</v>
      </c>
      <c r="AK746" s="826">
        <v>17646.68</v>
      </c>
      <c r="AL746" s="815">
        <f t="shared" si="136"/>
        <v>0.37462737200724683</v>
      </c>
      <c r="AM746" s="350">
        <f>IFERROR(T746/(D746+D704+D658)*90,"0.00")</f>
        <v>28.56673225584689</v>
      </c>
      <c r="AN746" s="350">
        <f>IFERROR(U746/(F746+F704+F658)*90,"0.00")</f>
        <v>24.133137934098023</v>
      </c>
      <c r="AO746" s="350">
        <f>IFERROR(AD746/(E746+E704+E658)*90,"0.00")</f>
        <v>107.44122357950226</v>
      </c>
      <c r="AP746" s="816">
        <f t="shared" si="150"/>
        <v>5.2683819562640691E-2</v>
      </c>
    </row>
    <row r="747" spans="1:42" x14ac:dyDescent="0.2">
      <c r="A747" s="638">
        <v>42853</v>
      </c>
      <c r="B747" s="826" t="s">
        <v>133</v>
      </c>
      <c r="C747" s="826" t="s">
        <v>171</v>
      </c>
      <c r="D747" s="826">
        <v>197617.35000686499</v>
      </c>
      <c r="E747" s="826">
        <v>12787</v>
      </c>
      <c r="F747" s="826">
        <v>184830.35000686499</v>
      </c>
      <c r="G747" s="826">
        <v>118637.040094443</v>
      </c>
      <c r="H747" s="826">
        <v>63035.400053091304</v>
      </c>
      <c r="I747" s="826">
        <v>55601.640041351297</v>
      </c>
      <c r="J747" s="826">
        <v>4981.6800282001504</v>
      </c>
      <c r="K747" s="343">
        <f t="shared" si="142"/>
        <v>113655.36006624246</v>
      </c>
      <c r="L747" s="826">
        <v>70830.180001735702</v>
      </c>
      <c r="M747" s="826">
        <v>7692.7399858832396</v>
      </c>
      <c r="N747" s="827">
        <v>1070</v>
      </c>
      <c r="O747" s="343">
        <f t="shared" si="144"/>
        <v>184.68911215594858</v>
      </c>
      <c r="P747" s="343">
        <f t="shared" si="145"/>
        <v>111.3032056254636</v>
      </c>
      <c r="Q747" s="343">
        <f t="shared" si="146"/>
        <v>110.87573840602113</v>
      </c>
      <c r="R747" s="344">
        <f t="shared" si="147"/>
        <v>0.60033716720885744</v>
      </c>
      <c r="S747" s="344">
        <f t="shared" si="148"/>
        <v>1.0396475424854077</v>
      </c>
      <c r="T747" s="343">
        <f t="shared" si="149"/>
        <v>243436.61</v>
      </c>
      <c r="U747" s="826">
        <v>188563.02</v>
      </c>
      <c r="V747" s="826">
        <v>8965.57</v>
      </c>
      <c r="W747" s="815">
        <f t="shared" si="138"/>
        <v>4.7546809549401575E-2</v>
      </c>
      <c r="X747" s="826">
        <v>8470.99</v>
      </c>
      <c r="Y747" s="815">
        <f t="shared" si="139"/>
        <v>4.4923919865093379E-2</v>
      </c>
      <c r="Z747" s="826">
        <v>7441.59</v>
      </c>
      <c r="AA747" s="815">
        <f t="shared" si="140"/>
        <v>3.9464737041228978E-2</v>
      </c>
      <c r="AB747" s="826">
        <v>11132.09</v>
      </c>
      <c r="AC747" s="815">
        <f t="shared" si="141"/>
        <v>5.9036443094727699E-2</v>
      </c>
      <c r="AD747" s="826">
        <v>54873.59</v>
      </c>
      <c r="AE747" s="826">
        <v>5390.97</v>
      </c>
      <c r="AF747" s="815">
        <f t="shared" si="133"/>
        <v>9.8243435503308621E-2</v>
      </c>
      <c r="AG747" s="826">
        <v>2453.0100000000002</v>
      </c>
      <c r="AH747" s="815">
        <f t="shared" si="134"/>
        <v>4.4702925396351879E-2</v>
      </c>
      <c r="AI747" s="826">
        <v>2883.06</v>
      </c>
      <c r="AJ747" s="815">
        <f t="shared" si="135"/>
        <v>5.2540028818963733E-2</v>
      </c>
      <c r="AK747" s="826">
        <v>25986.959999999999</v>
      </c>
      <c r="AL747" s="815">
        <f t="shared" si="136"/>
        <v>0.47357863773811776</v>
      </c>
      <c r="AM747" s="350">
        <f>IFERROR(T747/(D747+D705+D659)*90,"0.00")</f>
        <v>33.647261016306935</v>
      </c>
      <c r="AN747" s="350">
        <f>IFERROR(U747/(F747+F705+F659)*90,"0.00")</f>
        <v>27.469770123161386</v>
      </c>
      <c r="AO747" s="350">
        <f>IFERROR(AD747/(E747+E705+E659)*90,"0.00")</f>
        <v>148.07577056848166</v>
      </c>
      <c r="AP747" s="816">
        <f t="shared" si="150"/>
        <v>4.182966430415843E-2</v>
      </c>
    </row>
    <row r="748" spans="1:42" x14ac:dyDescent="0.2">
      <c r="A748" s="638">
        <v>42853</v>
      </c>
      <c r="B748" s="826" t="s">
        <v>133</v>
      </c>
      <c r="C748" s="826" t="s">
        <v>173</v>
      </c>
      <c r="D748" s="826">
        <v>232514.200003618</v>
      </c>
      <c r="E748" s="826">
        <v>21644.5</v>
      </c>
      <c r="F748" s="826">
        <v>210869.700003618</v>
      </c>
      <c r="G748" s="826">
        <v>138367.29013812399</v>
      </c>
      <c r="H748" s="826">
        <v>73361.560059696407</v>
      </c>
      <c r="I748" s="826">
        <v>65005.730078427099</v>
      </c>
      <c r="J748" s="826">
        <v>5872.8000156879398</v>
      </c>
      <c r="K748" s="343">
        <f t="shared" si="142"/>
        <v>132494.49012243556</v>
      </c>
      <c r="L748" s="826">
        <v>78603.8598894272</v>
      </c>
      <c r="M748" s="826">
        <v>8162.34001913667</v>
      </c>
      <c r="N748" s="827">
        <v>1180</v>
      </c>
      <c r="O748" s="343">
        <f t="shared" si="144"/>
        <v>197.04593220645592</v>
      </c>
      <c r="P748" s="343">
        <f t="shared" si="145"/>
        <v>123.51525431784248</v>
      </c>
      <c r="Q748" s="343">
        <f t="shared" si="146"/>
        <v>117.2604153712911</v>
      </c>
      <c r="R748" s="344">
        <f t="shared" si="147"/>
        <v>0.59509178422638476</v>
      </c>
      <c r="S748" s="344">
        <f t="shared" si="148"/>
        <v>0.9892196047591918</v>
      </c>
      <c r="T748" s="343">
        <f t="shared" si="149"/>
        <v>266153.61000000004</v>
      </c>
      <c r="U748" s="826">
        <v>207486.63000000006</v>
      </c>
      <c r="V748" s="826">
        <v>6860.73</v>
      </c>
      <c r="W748" s="815">
        <f t="shared" si="138"/>
        <v>3.3065889594910275E-2</v>
      </c>
      <c r="X748" s="826">
        <v>8286.01</v>
      </c>
      <c r="Y748" s="815">
        <f t="shared" si="139"/>
        <v>3.9935151484218515E-2</v>
      </c>
      <c r="Z748" s="826">
        <v>3249.67</v>
      </c>
      <c r="AA748" s="815">
        <f t="shared" si="140"/>
        <v>1.5662069406592604E-2</v>
      </c>
      <c r="AB748" s="826">
        <v>9388.91</v>
      </c>
      <c r="AC748" s="815">
        <f t="shared" si="141"/>
        <v>4.525067470612442E-2</v>
      </c>
      <c r="AD748" s="826">
        <v>58666.979999999996</v>
      </c>
      <c r="AE748" s="826">
        <v>7135.77</v>
      </c>
      <c r="AF748" s="815">
        <f t="shared" si="133"/>
        <v>0.12163179355746624</v>
      </c>
      <c r="AG748" s="826">
        <v>4472.2299999999996</v>
      </c>
      <c r="AH748" s="815">
        <f t="shared" si="134"/>
        <v>7.6230786040120013E-2</v>
      </c>
      <c r="AI748" s="826">
        <v>3746.91</v>
      </c>
      <c r="AJ748" s="815">
        <f t="shared" si="135"/>
        <v>6.3867442980702266E-2</v>
      </c>
      <c r="AK748" s="826">
        <v>22627.86</v>
      </c>
      <c r="AL748" s="815">
        <f t="shared" si="136"/>
        <v>0.38570009910174347</v>
      </c>
      <c r="AM748" s="350">
        <f>IFERROR(T748/(D748+D706+D660)*90,"0.00")</f>
        <v>31.910936609201197</v>
      </c>
      <c r="AN748" s="350">
        <f>IFERROR(U748/(F748+F706+F660)*90,"0.00")</f>
        <v>27.241798686883662</v>
      </c>
      <c r="AO748" s="350">
        <f>IFERROR(AD748/(E748+E706+E660)*90,"0.00")</f>
        <v>81.028009760139952</v>
      </c>
      <c r="AP748" s="816">
        <f t="shared" si="150"/>
        <v>4.0294206519868606E-2</v>
      </c>
    </row>
    <row r="749" spans="1:42" x14ac:dyDescent="0.2">
      <c r="A749" s="638">
        <v>42853</v>
      </c>
      <c r="B749" s="826" t="s">
        <v>133</v>
      </c>
      <c r="C749" s="826" t="s">
        <v>174</v>
      </c>
      <c r="D749" s="826">
        <v>170391.370008506</v>
      </c>
      <c r="E749" s="826">
        <v>9129</v>
      </c>
      <c r="F749" s="826">
        <v>161262.370008506</v>
      </c>
      <c r="G749" s="826">
        <v>98951.240203440204</v>
      </c>
      <c r="H749" s="826">
        <v>50927.740133762403</v>
      </c>
      <c r="I749" s="826">
        <v>48023.500069677801</v>
      </c>
      <c r="J749" s="826">
        <v>5263.8600192069998</v>
      </c>
      <c r="K749" s="343">
        <f t="shared" si="142"/>
        <v>93687.380184233203</v>
      </c>
      <c r="L749" s="826">
        <v>61789.029781341596</v>
      </c>
      <c r="M749" s="826">
        <v>6474.3200016021701</v>
      </c>
      <c r="N749" s="827">
        <v>806</v>
      </c>
      <c r="O749" s="343">
        <f t="shared" si="144"/>
        <v>211.40368487407693</v>
      </c>
      <c r="P749" s="343">
        <f t="shared" si="145"/>
        <v>126.7097025131045</v>
      </c>
      <c r="Q749" s="343">
        <f t="shared" si="146"/>
        <v>122.76828809359827</v>
      </c>
      <c r="R749" s="344">
        <f t="shared" si="147"/>
        <v>0.5807291777658723</v>
      </c>
      <c r="S749" s="344">
        <f t="shared" si="148"/>
        <v>1.0215464625165671</v>
      </c>
      <c r="T749" s="343">
        <f t="shared" si="149"/>
        <v>187373.77000000002</v>
      </c>
      <c r="U749" s="826">
        <v>131176.79</v>
      </c>
      <c r="V749" s="826">
        <v>3282.32</v>
      </c>
      <c r="W749" s="815">
        <f t="shared" si="138"/>
        <v>2.5022109475311905E-2</v>
      </c>
      <c r="X749" s="826">
        <v>4869.4799999999996</v>
      </c>
      <c r="Y749" s="815">
        <f t="shared" si="139"/>
        <v>3.7121506022521206E-2</v>
      </c>
      <c r="Z749" s="826">
        <v>3854</v>
      </c>
      <c r="AA749" s="815">
        <f t="shared" si="140"/>
        <v>2.9380197518173754E-2</v>
      </c>
      <c r="AB749" s="826">
        <v>9664.9699999999993</v>
      </c>
      <c r="AC749" s="815">
        <f t="shared" si="141"/>
        <v>7.3678964091132268E-2</v>
      </c>
      <c r="AD749" s="826">
        <v>56196.979999999996</v>
      </c>
      <c r="AE749" s="826">
        <v>5978.57</v>
      </c>
      <c r="AF749" s="815">
        <f t="shared" si="133"/>
        <v>0.10638596593624783</v>
      </c>
      <c r="AG749" s="826">
        <v>5355.45</v>
      </c>
      <c r="AH749" s="815">
        <f t="shared" si="134"/>
        <v>9.5297825612693066E-2</v>
      </c>
      <c r="AI749" s="826">
        <v>4321.8100000000004</v>
      </c>
      <c r="AJ749" s="815">
        <f t="shared" si="135"/>
        <v>7.6904666407340769E-2</v>
      </c>
      <c r="AK749" s="826">
        <v>22506.63</v>
      </c>
      <c r="AL749" s="815">
        <f t="shared" si="136"/>
        <v>0.40049536469753361</v>
      </c>
      <c r="AM749" s="350">
        <f>IFERROR(T749/(D749+D707+D661)*90,"0.00")</f>
        <v>27.675985300190472</v>
      </c>
      <c r="AN749" s="350">
        <f>IFERROR(U749/(F749+F707+F661)*90,"0.00")</f>
        <v>20.407801452684652</v>
      </c>
      <c r="AO749" s="350">
        <f>IFERROR(AD749/(E749+E707+E661)*90,"0.00")</f>
        <v>164.08409680768233</v>
      </c>
      <c r="AP749" s="816">
        <f t="shared" si="150"/>
        <v>5.1541780674697509E-2</v>
      </c>
    </row>
    <row r="750" spans="1:42" x14ac:dyDescent="0.2">
      <c r="A750" s="638">
        <v>42853</v>
      </c>
      <c r="B750" s="826" t="s">
        <v>133</v>
      </c>
      <c r="C750" s="826" t="s">
        <v>175</v>
      </c>
      <c r="D750" s="826">
        <v>0</v>
      </c>
      <c r="E750" s="826">
        <v>0</v>
      </c>
      <c r="F750" s="826">
        <v>0</v>
      </c>
      <c r="G750" s="826">
        <v>62.950000047682998</v>
      </c>
      <c r="H750" s="826">
        <v>60</v>
      </c>
      <c r="I750" s="826">
        <v>2.9500000476829999</v>
      </c>
      <c r="J750" s="826">
        <v>0</v>
      </c>
      <c r="K750" s="343">
        <f t="shared" si="142"/>
        <v>62.950000047682998</v>
      </c>
      <c r="L750" s="826">
        <v>25</v>
      </c>
      <c r="M750" s="826">
        <v>-2.9500000476829999</v>
      </c>
      <c r="N750" s="827">
        <v>0</v>
      </c>
      <c r="O750" s="343" t="str">
        <f t="shared" si="144"/>
        <v>$0.00</v>
      </c>
      <c r="P750" s="343" t="str">
        <f t="shared" si="145"/>
        <v>$0.00</v>
      </c>
      <c r="Q750" s="343" t="str">
        <f t="shared" si="146"/>
        <v>$0.00</v>
      </c>
      <c r="R750" s="344" t="str">
        <f t="shared" si="147"/>
        <v>0.00%</v>
      </c>
      <c r="S750" s="344">
        <v>0</v>
      </c>
      <c r="T750" s="343">
        <f t="shared" si="149"/>
        <v>-176.53</v>
      </c>
      <c r="U750" s="826">
        <v>-108</v>
      </c>
      <c r="V750" s="826">
        <v>0</v>
      </c>
      <c r="W750" s="815">
        <f t="shared" si="138"/>
        <v>0</v>
      </c>
      <c r="X750" s="826">
        <v>0</v>
      </c>
      <c r="Y750" s="815">
        <f t="shared" si="139"/>
        <v>0</v>
      </c>
      <c r="Z750" s="826">
        <v>0</v>
      </c>
      <c r="AA750" s="815">
        <f t="shared" si="140"/>
        <v>0</v>
      </c>
      <c r="AB750" s="826">
        <v>-108</v>
      </c>
      <c r="AC750" s="815">
        <f t="shared" si="141"/>
        <v>1</v>
      </c>
      <c r="AD750" s="826">
        <v>-68.53</v>
      </c>
      <c r="AE750" s="826">
        <v>0</v>
      </c>
      <c r="AF750" s="815">
        <f t="shared" si="133"/>
        <v>0</v>
      </c>
      <c r="AG750" s="826">
        <v>0</v>
      </c>
      <c r="AH750" s="815">
        <f t="shared" si="134"/>
        <v>0</v>
      </c>
      <c r="AI750" s="826">
        <v>0</v>
      </c>
      <c r="AJ750" s="815">
        <f t="shared" si="135"/>
        <v>0</v>
      </c>
      <c r="AK750" s="826">
        <v>-68.53</v>
      </c>
      <c r="AL750" s="815">
        <f t="shared" si="136"/>
        <v>1</v>
      </c>
      <c r="AM750" s="350">
        <v>0</v>
      </c>
      <c r="AN750" s="350">
        <v>0</v>
      </c>
      <c r="AO750" s="350">
        <v>0</v>
      </c>
      <c r="AP750" s="816">
        <f t="shared" si="150"/>
        <v>0</v>
      </c>
    </row>
    <row r="751" spans="1:42" x14ac:dyDescent="0.2">
      <c r="A751" s="638">
        <v>42853</v>
      </c>
      <c r="B751" s="826" t="s">
        <v>133</v>
      </c>
      <c r="C751" s="826" t="s">
        <v>177</v>
      </c>
      <c r="D751" s="826">
        <v>0</v>
      </c>
      <c r="E751" s="826">
        <v>0</v>
      </c>
      <c r="F751" s="826">
        <v>0</v>
      </c>
      <c r="G751" s="826">
        <v>8386.7599520683307</v>
      </c>
      <c r="H751" s="826">
        <v>2323.6099758148198</v>
      </c>
      <c r="I751" s="826">
        <v>6063.1499762535104</v>
      </c>
      <c r="J751" s="826">
        <v>2005.6499938964801</v>
      </c>
      <c r="K751" s="343">
        <f t="shared" si="142"/>
        <v>6381.1099581718508</v>
      </c>
      <c r="L751" s="826">
        <v>1907.4100151062</v>
      </c>
      <c r="M751" s="826">
        <v>3171.72999572754</v>
      </c>
      <c r="N751" s="827">
        <v>0</v>
      </c>
      <c r="O751" s="343" t="str">
        <f t="shared" si="144"/>
        <v>$0.00</v>
      </c>
      <c r="P751" s="343">
        <v>0</v>
      </c>
      <c r="Q751" s="343" t="str">
        <f t="shared" si="146"/>
        <v>$0.00</v>
      </c>
      <c r="R751" s="344" t="str">
        <f t="shared" si="147"/>
        <v>0.00%</v>
      </c>
      <c r="S751" s="344">
        <v>0</v>
      </c>
      <c r="T751" s="343">
        <f t="shared" si="149"/>
        <v>22907.870000000003</v>
      </c>
      <c r="U751" s="826">
        <v>10797.51</v>
      </c>
      <c r="V751" s="826">
        <v>3287.67</v>
      </c>
      <c r="W751" s="815">
        <f t="shared" si="138"/>
        <v>0.30448408938727539</v>
      </c>
      <c r="X751" s="826">
        <v>1068.95</v>
      </c>
      <c r="Y751" s="815">
        <f t="shared" si="139"/>
        <v>9.8999676777331069E-2</v>
      </c>
      <c r="Z751" s="826">
        <v>570.6</v>
      </c>
      <c r="AA751" s="815">
        <f t="shared" si="140"/>
        <v>5.2845517160900989E-2</v>
      </c>
      <c r="AB751" s="826">
        <v>4049.51</v>
      </c>
      <c r="AC751" s="815">
        <f t="shared" si="141"/>
        <v>0.37504109743820568</v>
      </c>
      <c r="AD751" s="826">
        <v>12110.36</v>
      </c>
      <c r="AE751" s="826">
        <v>2904.36</v>
      </c>
      <c r="AF751" s="815">
        <f t="shared" si="133"/>
        <v>0.23982441479856917</v>
      </c>
      <c r="AG751" s="826">
        <v>574.87</v>
      </c>
      <c r="AH751" s="815">
        <f t="shared" si="134"/>
        <v>4.7469274241228168E-2</v>
      </c>
      <c r="AI751" s="826">
        <v>1661.44</v>
      </c>
      <c r="AJ751" s="815">
        <f t="shared" si="135"/>
        <v>0.13719162766424781</v>
      </c>
      <c r="AK751" s="826">
        <v>4409.88</v>
      </c>
      <c r="AL751" s="815">
        <f t="shared" si="136"/>
        <v>0.36414111554074363</v>
      </c>
      <c r="AM751" s="350">
        <f>IFERROR(T751/(D751+D708+D663)*90,"0.00")</f>
        <v>18.827258385300247</v>
      </c>
      <c r="AN751" s="350">
        <f>IFERROR(U751/(F751+F708+F663)*90,"0.00")</f>
        <v>9.4249667528690271</v>
      </c>
      <c r="AO751" s="350">
        <f>IFERROR(AD751/(E751+E708+E663)*90,"0.00")</f>
        <v>170.30193750000001</v>
      </c>
      <c r="AP751" s="816">
        <v>0</v>
      </c>
    </row>
    <row r="752" spans="1:42" x14ac:dyDescent="0.2">
      <c r="A752" s="638">
        <v>42853</v>
      </c>
      <c r="B752" s="826" t="s">
        <v>134</v>
      </c>
      <c r="C752" s="826" t="s">
        <v>178</v>
      </c>
      <c r="D752" s="826">
        <v>360534.51035819802</v>
      </c>
      <c r="E752" s="826">
        <v>15411.360000610401</v>
      </c>
      <c r="F752" s="826">
        <v>345123.15035758697</v>
      </c>
      <c r="G752" s="826">
        <v>239911.689472033</v>
      </c>
      <c r="H752" s="826">
        <v>139992.02944804501</v>
      </c>
      <c r="I752" s="826">
        <v>99919.660023987293</v>
      </c>
      <c r="J752" s="826">
        <v>18495.989995956399</v>
      </c>
      <c r="K752" s="343">
        <f t="shared" si="142"/>
        <v>221415.69947607591</v>
      </c>
      <c r="L752" s="826">
        <v>101422.630267179</v>
      </c>
      <c r="M752" s="826">
        <v>8082.2400186248096</v>
      </c>
      <c r="N752" s="827">
        <v>1768</v>
      </c>
      <c r="O752" s="343">
        <f t="shared" si="144"/>
        <v>203.92223436549625</v>
      </c>
      <c r="P752" s="343">
        <f t="shared" si="145"/>
        <v>141.98509053868415</v>
      </c>
      <c r="Q752" s="343">
        <f t="shared" si="146"/>
        <v>135.69665694119473</v>
      </c>
      <c r="R752" s="344">
        <f t="shared" si="147"/>
        <v>0.6654333568059152</v>
      </c>
      <c r="S752" s="344">
        <f t="shared" si="148"/>
        <v>1.0317289106035614</v>
      </c>
      <c r="T752" s="343">
        <f t="shared" si="149"/>
        <v>378814.5</v>
      </c>
      <c r="U752" s="826">
        <v>276714.62</v>
      </c>
      <c r="V752" s="826">
        <v>11236.41</v>
      </c>
      <c r="W752" s="815">
        <f t="shared" si="138"/>
        <v>4.0606491988027231E-2</v>
      </c>
      <c r="X752" s="826">
        <v>6192.09</v>
      </c>
      <c r="Y752" s="815">
        <f t="shared" si="139"/>
        <v>2.2377169663099116E-2</v>
      </c>
      <c r="Z752" s="826">
        <v>6477.67</v>
      </c>
      <c r="AA752" s="815">
        <f t="shared" si="140"/>
        <v>2.3409207652273667E-2</v>
      </c>
      <c r="AB752" s="826">
        <v>4233.2</v>
      </c>
      <c r="AC752" s="815">
        <f t="shared" si="141"/>
        <v>1.5298071348741891E-2</v>
      </c>
      <c r="AD752" s="826">
        <v>102099.88</v>
      </c>
      <c r="AE752" s="826">
        <v>12191.2</v>
      </c>
      <c r="AF752" s="815">
        <f t="shared" si="133"/>
        <v>0.11940464572534268</v>
      </c>
      <c r="AG752" s="826">
        <v>5547.62</v>
      </c>
      <c r="AH752" s="815">
        <f t="shared" si="134"/>
        <v>5.4335225467454021E-2</v>
      </c>
      <c r="AI752" s="826">
        <v>7873.06</v>
      </c>
      <c r="AJ752" s="815">
        <f t="shared" si="135"/>
        <v>7.7111354097575829E-2</v>
      </c>
      <c r="AK752" s="826">
        <v>33240.06</v>
      </c>
      <c r="AL752" s="815">
        <f t="shared" si="136"/>
        <v>0.32556414366011005</v>
      </c>
      <c r="AM752" s="350">
        <f>IFERROR(T752/(D752+D709+D664)*90,"0.00")</f>
        <v>32.211973362922024</v>
      </c>
      <c r="AN752" s="350">
        <f>IFERROR(U752/(F752+F709+F664)*90,"0.00")</f>
        <v>24.548161960571061</v>
      </c>
      <c r="AO752" s="350">
        <f>IFERROR(AD752/(E752+E709+E664)*90,"0.00")</f>
        <v>209.3337397422525</v>
      </c>
      <c r="AP752" s="816">
        <f t="shared" si="150"/>
        <v>7.3680502392555539E-2</v>
      </c>
    </row>
    <row r="753" spans="1:42" x14ac:dyDescent="0.2">
      <c r="A753" s="638">
        <v>42853</v>
      </c>
      <c r="B753" s="826" t="s">
        <v>134</v>
      </c>
      <c r="C753" s="826" t="s">
        <v>318</v>
      </c>
      <c r="D753" s="826">
        <v>112890.300037384</v>
      </c>
      <c r="E753" s="826">
        <v>4627</v>
      </c>
      <c r="F753" s="826">
        <v>108263.300037384</v>
      </c>
      <c r="G753" s="826">
        <v>68004.609865574195</v>
      </c>
      <c r="H753" s="826">
        <v>42630.559889523298</v>
      </c>
      <c r="I753" s="826">
        <v>25374.049976050901</v>
      </c>
      <c r="J753" s="826">
        <v>3326.43997716904</v>
      </c>
      <c r="K753" s="343">
        <f t="shared" si="142"/>
        <v>64678.169888405158</v>
      </c>
      <c r="L753" s="826">
        <v>30700.9600375015</v>
      </c>
      <c r="M753" s="826">
        <v>82.349998474120994</v>
      </c>
      <c r="N753" s="827">
        <v>508</v>
      </c>
      <c r="O753" s="343">
        <f t="shared" si="144"/>
        <v>222.22500007359056</v>
      </c>
      <c r="P753" s="343">
        <f t="shared" si="145"/>
        <v>161.62793307363856</v>
      </c>
      <c r="Q753" s="343">
        <f t="shared" si="146"/>
        <v>133.86734225506731</v>
      </c>
      <c r="R753" s="344">
        <f t="shared" si="147"/>
        <v>0.60239551000444003</v>
      </c>
      <c r="S753" s="344">
        <f t="shared" si="148"/>
        <v>0.86321572830667481</v>
      </c>
      <c r="T753" s="343">
        <f t="shared" si="149"/>
        <v>94582.720000000001</v>
      </c>
      <c r="U753" s="826">
        <v>82895.759999999995</v>
      </c>
      <c r="V753" s="826">
        <v>0</v>
      </c>
      <c r="W753" s="815">
        <f t="shared" si="138"/>
        <v>0</v>
      </c>
      <c r="X753" s="826">
        <v>0</v>
      </c>
      <c r="Y753" s="815">
        <f t="shared" si="139"/>
        <v>0</v>
      </c>
      <c r="Z753" s="826">
        <v>0</v>
      </c>
      <c r="AA753" s="815">
        <f t="shared" si="140"/>
        <v>0</v>
      </c>
      <c r="AB753" s="826">
        <v>0</v>
      </c>
      <c r="AC753" s="815">
        <f t="shared" si="141"/>
        <v>0</v>
      </c>
      <c r="AD753" s="826">
        <v>11686.960000000001</v>
      </c>
      <c r="AE753" s="826">
        <v>133.26</v>
      </c>
      <c r="AF753" s="815">
        <f t="shared" si="133"/>
        <v>1.1402451963555962E-2</v>
      </c>
      <c r="AG753" s="826">
        <v>0</v>
      </c>
      <c r="AH753" s="815">
        <f t="shared" si="134"/>
        <v>0</v>
      </c>
      <c r="AI753" s="826">
        <v>0</v>
      </c>
      <c r="AJ753" s="815">
        <f t="shared" si="135"/>
        <v>0</v>
      </c>
      <c r="AK753" s="826">
        <v>0</v>
      </c>
      <c r="AL753" s="815">
        <f t="shared" si="136"/>
        <v>0</v>
      </c>
      <c r="AM753" s="350">
        <f>IFERROR(T753/(D753+D710+D665)*90,"0.00")</f>
        <v>28.167134077302499</v>
      </c>
      <c r="AN753" s="350">
        <f>IFERROR(U753/(F753+F710+F665)*90,"0.00")</f>
        <v>25.939604801206983</v>
      </c>
      <c r="AO753" s="350">
        <f>IFERROR(AD753/(E753+E710+E665)*90,"0.00")</f>
        <v>72.057710488456536</v>
      </c>
      <c r="AP753" s="816">
        <f t="shared" si="150"/>
        <v>4.0513480972959572E-2</v>
      </c>
    </row>
    <row r="754" spans="1:42" x14ac:dyDescent="0.2">
      <c r="A754" s="638">
        <v>42853</v>
      </c>
      <c r="B754" s="826" t="s">
        <v>134</v>
      </c>
      <c r="C754" s="826" t="s">
        <v>306</v>
      </c>
      <c r="D754" s="826">
        <v>161381.05014850601</v>
      </c>
      <c r="E754" s="826">
        <v>4035</v>
      </c>
      <c r="F754" s="826">
        <v>157346.05014850601</v>
      </c>
      <c r="G754" s="826">
        <v>104198.739599705</v>
      </c>
      <c r="H754" s="826">
        <v>69704.349608182907</v>
      </c>
      <c r="I754" s="826">
        <v>34494.389991521799</v>
      </c>
      <c r="J754" s="826">
        <v>5650.5899901390103</v>
      </c>
      <c r="K754" s="343">
        <f t="shared" si="142"/>
        <v>98548.149609565706</v>
      </c>
      <c r="L754" s="826">
        <v>52170.270030021697</v>
      </c>
      <c r="M754" s="826">
        <v>1619.0899991393101</v>
      </c>
      <c r="N754" s="827">
        <v>768</v>
      </c>
      <c r="O754" s="343">
        <f t="shared" si="144"/>
        <v>210.13157571420052</v>
      </c>
      <c r="P754" s="343">
        <f t="shared" si="145"/>
        <v>140.09334650956382</v>
      </c>
      <c r="Q754" s="343">
        <f t="shared" si="146"/>
        <v>135.67544218711552</v>
      </c>
      <c r="R754" s="344">
        <f t="shared" si="147"/>
        <v>0.64566898966030395</v>
      </c>
      <c r="S754" s="344">
        <f t="shared" si="148"/>
        <v>1.022146508794169</v>
      </c>
      <c r="T754" s="343">
        <f t="shared" si="149"/>
        <v>148270.54999999999</v>
      </c>
      <c r="U754" s="826">
        <v>117286.98</v>
      </c>
      <c r="V754" s="826">
        <v>1526.43</v>
      </c>
      <c r="W754" s="815">
        <f t="shared" si="138"/>
        <v>1.3014488053149635E-2</v>
      </c>
      <c r="X754" s="826">
        <v>2368.56</v>
      </c>
      <c r="Y754" s="815">
        <f t="shared" si="139"/>
        <v>2.0194568911229532E-2</v>
      </c>
      <c r="Z754" s="826">
        <v>997.99</v>
      </c>
      <c r="AA754" s="815">
        <f t="shared" si="140"/>
        <v>8.5089581128271873E-3</v>
      </c>
      <c r="AB754" s="826">
        <v>3793.07</v>
      </c>
      <c r="AC754" s="815">
        <f t="shared" si="141"/>
        <v>3.2340077304403268E-2</v>
      </c>
      <c r="AD754" s="826">
        <v>30983.57</v>
      </c>
      <c r="AE754" s="826">
        <v>2688.52</v>
      </c>
      <c r="AF754" s="815">
        <f t="shared" si="133"/>
        <v>8.6772441006636739E-2</v>
      </c>
      <c r="AG754" s="826">
        <v>2318.31</v>
      </c>
      <c r="AH754" s="815">
        <f t="shared" si="134"/>
        <v>7.4823850188987254E-2</v>
      </c>
      <c r="AI754" s="826">
        <v>1861.63</v>
      </c>
      <c r="AJ754" s="815">
        <f t="shared" si="135"/>
        <v>6.0084425390618319E-2</v>
      </c>
      <c r="AK754" s="826">
        <v>8884.56</v>
      </c>
      <c r="AL754" s="815">
        <f t="shared" si="136"/>
        <v>0.28675068754181648</v>
      </c>
      <c r="AM754" s="350">
        <f>IFERROR(T754/(D754+D711+D666)*90,"0.00")</f>
        <v>28.939714467304011</v>
      </c>
      <c r="AN754" s="350">
        <f>IFERROR(U754/(F754+F711+F666)*90,"0.00")</f>
        <v>23.398663250269998</v>
      </c>
      <c r="AO754" s="350">
        <f>IFERROR(AD754/(E754+E711+E666)*90,"0.00")</f>
        <v>279.43895179877745</v>
      </c>
      <c r="AP754" s="816">
        <f t="shared" si="150"/>
        <v>5.2518832856618854E-2</v>
      </c>
    </row>
    <row r="755" spans="1:42" x14ac:dyDescent="0.2">
      <c r="A755" s="638">
        <v>42853</v>
      </c>
      <c r="B755" s="826" t="s">
        <v>134</v>
      </c>
      <c r="C755" s="826" t="s">
        <v>307</v>
      </c>
      <c r="D755" s="826">
        <v>175598.570198784</v>
      </c>
      <c r="E755" s="826">
        <v>5526</v>
      </c>
      <c r="F755" s="826">
        <v>170072.570198784</v>
      </c>
      <c r="G755" s="826">
        <v>111272.29961813999</v>
      </c>
      <c r="H755" s="826">
        <v>72248.5796047412</v>
      </c>
      <c r="I755" s="826">
        <v>39023.720013398699</v>
      </c>
      <c r="J755" s="826">
        <v>6907.0200178623199</v>
      </c>
      <c r="K755" s="343">
        <f t="shared" si="142"/>
        <v>104365.27960027757</v>
      </c>
      <c r="L755" s="826">
        <v>50566.620132688397</v>
      </c>
      <c r="M755" s="826">
        <v>2187.5900001525902</v>
      </c>
      <c r="N755" s="827">
        <v>764</v>
      </c>
      <c r="O755" s="343">
        <f t="shared" si="144"/>
        <v>229.84106046961256</v>
      </c>
      <c r="P755" s="343">
        <f t="shared" si="145"/>
        <v>160.79104720673169</v>
      </c>
      <c r="Q755" s="343">
        <f t="shared" si="146"/>
        <v>145.6443712279318</v>
      </c>
      <c r="R755" s="344">
        <f t="shared" si="147"/>
        <v>0.63367429183606439</v>
      </c>
      <c r="S755" s="344">
        <f t="shared" si="148"/>
        <v>0.95976239899926852</v>
      </c>
      <c r="T755" s="343">
        <f t="shared" si="149"/>
        <v>172313.94</v>
      </c>
      <c r="U755" s="826">
        <v>132622.51999999999</v>
      </c>
      <c r="V755" s="826">
        <v>4252.96</v>
      </c>
      <c r="W755" s="815">
        <f t="shared" si="138"/>
        <v>3.2068158560099751E-2</v>
      </c>
      <c r="X755" s="826">
        <v>1867.01</v>
      </c>
      <c r="Y755" s="815">
        <f t="shared" si="139"/>
        <v>1.4077624222492532E-2</v>
      </c>
      <c r="Z755" s="826">
        <v>1746.7</v>
      </c>
      <c r="AA755" s="815">
        <f t="shared" si="140"/>
        <v>1.3170463055595688E-2</v>
      </c>
      <c r="AB755" s="826">
        <v>7149.09</v>
      </c>
      <c r="AC755" s="815">
        <f t="shared" si="141"/>
        <v>5.3905550882308681E-2</v>
      </c>
      <c r="AD755" s="826">
        <v>39691.42</v>
      </c>
      <c r="AE755" s="826">
        <v>2982.79</v>
      </c>
      <c r="AF755" s="815">
        <f t="shared" si="133"/>
        <v>7.5149490746362818E-2</v>
      </c>
      <c r="AG755" s="826">
        <v>2779.16</v>
      </c>
      <c r="AH755" s="815">
        <f t="shared" si="134"/>
        <v>7.0019162831664872E-2</v>
      </c>
      <c r="AI755" s="826">
        <v>2677.53</v>
      </c>
      <c r="AJ755" s="815">
        <f t="shared" si="135"/>
        <v>6.7458659831268322E-2</v>
      </c>
      <c r="AK755" s="826">
        <v>12116.02</v>
      </c>
      <c r="AL755" s="815">
        <f t="shared" si="136"/>
        <v>0.30525539272719399</v>
      </c>
      <c r="AM755" s="350">
        <f>IFERROR(T755/(D755+D712+D667)*90,"0.00")</f>
        <v>30.877003161293505</v>
      </c>
      <c r="AN755" s="350">
        <f>IFERROR(U755/(F755+F712+F667)*90,"0.00")</f>
        <v>24.278175988462216</v>
      </c>
      <c r="AO755" s="350">
        <f>IFERROR(AD755/(E755+E712+E667)*90,"0.00")</f>
        <v>336.2729737362327</v>
      </c>
      <c r="AP755" s="816">
        <f t="shared" si="150"/>
        <v>5.6225780444088949E-2</v>
      </c>
    </row>
    <row r="756" spans="1:42" x14ac:dyDescent="0.2">
      <c r="A756" s="638">
        <v>42853</v>
      </c>
      <c r="B756" s="826" t="s">
        <v>134</v>
      </c>
      <c r="C756" s="826" t="s">
        <v>329</v>
      </c>
      <c r="D756" s="826">
        <v>46555.380016803698</v>
      </c>
      <c r="E756" s="826">
        <v>529</v>
      </c>
      <c r="F756" s="826">
        <v>46026.380016803698</v>
      </c>
      <c r="G756" s="826">
        <v>5400.7200012207004</v>
      </c>
      <c r="H756" s="826">
        <v>0</v>
      </c>
      <c r="I756" s="826">
        <v>5400.7200012207004</v>
      </c>
      <c r="J756" s="826">
        <v>0</v>
      </c>
      <c r="K756" s="343">
        <f t="shared" si="142"/>
        <v>5400.7200012207004</v>
      </c>
      <c r="L756" s="826">
        <v>155.15000152587899</v>
      </c>
      <c r="M756" s="826">
        <v>0</v>
      </c>
      <c r="N756" s="827">
        <v>232</v>
      </c>
      <c r="O756" s="343">
        <f t="shared" si="144"/>
        <v>200.66974145174007</v>
      </c>
      <c r="P756" s="343">
        <f t="shared" si="145"/>
        <v>200.00099144516301</v>
      </c>
      <c r="Q756" s="343">
        <f t="shared" si="146"/>
        <v>23.278965522503018</v>
      </c>
      <c r="R756" s="344">
        <f t="shared" si="147"/>
        <v>0.11600635628516758</v>
      </c>
      <c r="S756" s="344">
        <f t="shared" si="148"/>
        <v>0.11639425061993119</v>
      </c>
      <c r="T756" s="343">
        <f t="shared" si="149"/>
        <v>51177.16</v>
      </c>
      <c r="U756" s="826">
        <v>50758.400000000001</v>
      </c>
      <c r="V756" s="826">
        <v>0</v>
      </c>
      <c r="W756" s="815">
        <f t="shared" si="138"/>
        <v>0</v>
      </c>
      <c r="X756" s="826">
        <v>0</v>
      </c>
      <c r="Y756" s="815">
        <f t="shared" si="139"/>
        <v>0</v>
      </c>
      <c r="Z756" s="826">
        <v>0</v>
      </c>
      <c r="AA756" s="815">
        <f t="shared" si="140"/>
        <v>0</v>
      </c>
      <c r="AB756" s="826">
        <v>0</v>
      </c>
      <c r="AC756" s="815">
        <f t="shared" si="141"/>
        <v>0</v>
      </c>
      <c r="AD756" s="826">
        <v>418.76</v>
      </c>
      <c r="AE756" s="826">
        <v>0</v>
      </c>
      <c r="AF756" s="815">
        <f t="shared" si="133"/>
        <v>0</v>
      </c>
      <c r="AG756" s="826">
        <v>0</v>
      </c>
      <c r="AH756" s="815">
        <f t="shared" si="134"/>
        <v>0</v>
      </c>
      <c r="AI756" s="826">
        <v>0</v>
      </c>
      <c r="AJ756" s="815">
        <f t="shared" si="135"/>
        <v>0</v>
      </c>
      <c r="AK756" s="826">
        <v>0</v>
      </c>
      <c r="AL756" s="815">
        <f t="shared" si="136"/>
        <v>0</v>
      </c>
      <c r="AM756" s="350">
        <f>IFERROR(T756/(D756)*30,"0.00")</f>
        <v>32.978246540911996</v>
      </c>
      <c r="AN756" s="350">
        <f>IFERROR(U756/(F756)*30,"0.00")</f>
        <v>33.08433119102699</v>
      </c>
      <c r="AO756" s="350">
        <f>IFERROR(AD756/(E756)*30,"0.00")</f>
        <v>23.74820415879017</v>
      </c>
      <c r="AP756" s="816">
        <f t="shared" si="150"/>
        <v>0</v>
      </c>
    </row>
    <row r="757" spans="1:42" x14ac:dyDescent="0.2">
      <c r="A757" s="638">
        <v>42853</v>
      </c>
      <c r="B757" s="826" t="s">
        <v>135</v>
      </c>
      <c r="C757" s="826" t="s">
        <v>181</v>
      </c>
      <c r="D757" s="826">
        <v>118090.5</v>
      </c>
      <c r="E757" s="826">
        <v>9013</v>
      </c>
      <c r="F757" s="826">
        <v>109077.5</v>
      </c>
      <c r="G757" s="826">
        <v>72057.120471358299</v>
      </c>
      <c r="H757" s="826">
        <v>36603.010296464003</v>
      </c>
      <c r="I757" s="826">
        <v>35454.110174894297</v>
      </c>
      <c r="J757" s="826">
        <v>5396.3300375938397</v>
      </c>
      <c r="K757" s="343">
        <f t="shared" si="142"/>
        <v>66660.790433764458</v>
      </c>
      <c r="L757" s="826">
        <v>38218.539665222197</v>
      </c>
      <c r="M757" s="826">
        <v>1330.42000314593</v>
      </c>
      <c r="N757" s="827">
        <v>863</v>
      </c>
      <c r="O757" s="343">
        <f t="shared" si="144"/>
        <v>136.8371958285052</v>
      </c>
      <c r="P757" s="343">
        <f t="shared" si="145"/>
        <v>91.009896096908307</v>
      </c>
      <c r="Q757" s="343">
        <f t="shared" si="146"/>
        <v>83.496083976081465</v>
      </c>
      <c r="R757" s="344">
        <f t="shared" si="147"/>
        <v>0.61018558200158601</v>
      </c>
      <c r="S757" s="344">
        <f t="shared" si="148"/>
        <v>0.98512425053799568</v>
      </c>
      <c r="T757" s="343">
        <f t="shared" si="149"/>
        <v>115692.69</v>
      </c>
      <c r="U757" s="826">
        <v>88082.85</v>
      </c>
      <c r="V757" s="826">
        <v>5901.3</v>
      </c>
      <c r="W757" s="815">
        <f t="shared" si="138"/>
        <v>6.6997150977744252E-2</v>
      </c>
      <c r="X757" s="826">
        <v>4330.5</v>
      </c>
      <c r="Y757" s="815">
        <f t="shared" si="139"/>
        <v>4.9163940540071074E-2</v>
      </c>
      <c r="Z757" s="826">
        <v>3628.59</v>
      </c>
      <c r="AA757" s="815">
        <f t="shared" si="140"/>
        <v>4.1195192934833508E-2</v>
      </c>
      <c r="AB757" s="826">
        <v>3364.35</v>
      </c>
      <c r="AC757" s="815">
        <f t="shared" si="141"/>
        <v>3.819529000253738E-2</v>
      </c>
      <c r="AD757" s="826">
        <v>27609.839999999997</v>
      </c>
      <c r="AE757" s="826">
        <v>3626.68</v>
      </c>
      <c r="AF757" s="815">
        <f t="shared" si="133"/>
        <v>0.13135461849833249</v>
      </c>
      <c r="AG757" s="826">
        <v>1224.69</v>
      </c>
      <c r="AH757" s="815">
        <f t="shared" si="134"/>
        <v>4.4357011847949872E-2</v>
      </c>
      <c r="AI757" s="826">
        <v>1729.7</v>
      </c>
      <c r="AJ757" s="815">
        <f t="shared" si="135"/>
        <v>6.26479544973821E-2</v>
      </c>
      <c r="AK757" s="826">
        <v>9188.7199999999993</v>
      </c>
      <c r="AL757" s="815">
        <f t="shared" si="136"/>
        <v>0.3328059851125541</v>
      </c>
      <c r="AM757" s="350">
        <f>IFERROR(T757/(D757+D713+D668)*90,"0.00")</f>
        <v>29.212766771152214</v>
      </c>
      <c r="AN757" s="350">
        <f>IFERROR(U757/(F757+F713+F668)*90,"0.00")</f>
        <v>24.054069840331387</v>
      </c>
      <c r="AO757" s="350">
        <f>IFERROR(AD757/(E757+E713+E668)*90,"0.00")</f>
        <v>92.502093941961419</v>
      </c>
      <c r="AP757" s="816">
        <f t="shared" si="150"/>
        <v>6.8706699853459813E-2</v>
      </c>
    </row>
    <row r="758" spans="1:42" x14ac:dyDescent="0.2">
      <c r="A758" s="638">
        <v>42853</v>
      </c>
      <c r="B758" s="826" t="s">
        <v>135</v>
      </c>
      <c r="C758" s="826" t="s">
        <v>182</v>
      </c>
      <c r="D758" s="826">
        <v>0</v>
      </c>
      <c r="E758" s="826">
        <v>0</v>
      </c>
      <c r="F758" s="826">
        <v>0</v>
      </c>
      <c r="G758" s="826">
        <v>50.589999973773999</v>
      </c>
      <c r="H758" s="826">
        <v>0.58999997377299995</v>
      </c>
      <c r="I758" s="826">
        <v>50</v>
      </c>
      <c r="J758" s="826">
        <v>52.959999084472003</v>
      </c>
      <c r="K758" s="343">
        <v>0</v>
      </c>
      <c r="L758" s="826">
        <v>0</v>
      </c>
      <c r="M758" s="826">
        <v>-50</v>
      </c>
      <c r="N758" s="827">
        <v>0</v>
      </c>
      <c r="O758" s="343" t="str">
        <f t="shared" si="144"/>
        <v>$0.00</v>
      </c>
      <c r="P758" s="343" t="str">
        <f t="shared" si="145"/>
        <v>$0.00</v>
      </c>
      <c r="Q758" s="343" t="str">
        <f t="shared" si="146"/>
        <v>$0.00</v>
      </c>
      <c r="R758" s="344" t="str">
        <f t="shared" si="147"/>
        <v>0.00%</v>
      </c>
      <c r="S758" s="344">
        <v>0</v>
      </c>
      <c r="T758" s="343">
        <f t="shared" si="149"/>
        <v>-142.59</v>
      </c>
      <c r="U758" s="826">
        <v>-162</v>
      </c>
      <c r="V758" s="826">
        <v>0</v>
      </c>
      <c r="W758" s="815">
        <f t="shared" si="138"/>
        <v>0</v>
      </c>
      <c r="X758" s="826">
        <v>0</v>
      </c>
      <c r="Y758" s="815">
        <f t="shared" si="139"/>
        <v>0</v>
      </c>
      <c r="Z758" s="826">
        <v>0</v>
      </c>
      <c r="AA758" s="815">
        <f t="shared" si="140"/>
        <v>0</v>
      </c>
      <c r="AB758" s="826">
        <v>-162</v>
      </c>
      <c r="AC758" s="815">
        <f t="shared" si="141"/>
        <v>1</v>
      </c>
      <c r="AD758" s="826">
        <v>19.41</v>
      </c>
      <c r="AE758" s="826">
        <v>0</v>
      </c>
      <c r="AF758" s="815">
        <f t="shared" si="133"/>
        <v>0</v>
      </c>
      <c r="AG758" s="826">
        <v>0</v>
      </c>
      <c r="AH758" s="815">
        <f t="shared" si="134"/>
        <v>0</v>
      </c>
      <c r="AI758" s="826">
        <v>0</v>
      </c>
      <c r="AJ758" s="815">
        <f t="shared" si="135"/>
        <v>0</v>
      </c>
      <c r="AK758" s="826">
        <v>19.41</v>
      </c>
      <c r="AL758" s="815">
        <f t="shared" si="136"/>
        <v>1</v>
      </c>
      <c r="AM758" s="350">
        <v>0</v>
      </c>
      <c r="AN758" s="350">
        <v>0</v>
      </c>
      <c r="AO758" s="350">
        <v>0</v>
      </c>
      <c r="AP758" s="816">
        <v>0</v>
      </c>
    </row>
    <row r="759" spans="1:42" x14ac:dyDescent="0.2">
      <c r="A759" s="638">
        <v>42853</v>
      </c>
      <c r="B759" s="826" t="s">
        <v>135</v>
      </c>
      <c r="C759" s="826" t="s">
        <v>183</v>
      </c>
      <c r="D759" s="826">
        <v>174513</v>
      </c>
      <c r="E759" s="826">
        <v>10632</v>
      </c>
      <c r="F759" s="826">
        <v>163881</v>
      </c>
      <c r="G759" s="826">
        <v>115238.960780451</v>
      </c>
      <c r="H759" s="826">
        <v>55874.340469667703</v>
      </c>
      <c r="I759" s="826">
        <v>59364.620310783401</v>
      </c>
      <c r="J759" s="826">
        <v>10340.400094509099</v>
      </c>
      <c r="K759" s="343">
        <f t="shared" si="142"/>
        <v>104898.56068594201</v>
      </c>
      <c r="L759" s="826">
        <v>68695.919248571605</v>
      </c>
      <c r="M759" s="826">
        <v>2117.82000017166</v>
      </c>
      <c r="N759" s="827">
        <v>918</v>
      </c>
      <c r="O759" s="343">
        <f t="shared" si="144"/>
        <v>190.1013071895425</v>
      </c>
      <c r="P759" s="343">
        <f t="shared" si="145"/>
        <v>112.96215768110756</v>
      </c>
      <c r="Q759" s="343">
        <f t="shared" si="146"/>
        <v>125.53263701574194</v>
      </c>
      <c r="R759" s="344">
        <f t="shared" si="147"/>
        <v>0.66034599588827825</v>
      </c>
      <c r="S759" s="344">
        <f t="shared" si="148"/>
        <v>1.2343655435572418</v>
      </c>
      <c r="T759" s="343">
        <f t="shared" si="149"/>
        <v>133051.75</v>
      </c>
      <c r="U759" s="826">
        <v>97354.98</v>
      </c>
      <c r="V759" s="826">
        <v>2964.56</v>
      </c>
      <c r="W759" s="815">
        <f t="shared" si="138"/>
        <v>3.0451035992200913E-2</v>
      </c>
      <c r="X759" s="826">
        <v>2853.97</v>
      </c>
      <c r="Y759" s="815">
        <f t="shared" si="139"/>
        <v>2.931508999334189E-2</v>
      </c>
      <c r="Z759" s="826">
        <v>2093.77</v>
      </c>
      <c r="AA759" s="815">
        <f t="shared" si="140"/>
        <v>2.1506552618058162E-2</v>
      </c>
      <c r="AB759" s="826">
        <v>9215.9</v>
      </c>
      <c r="AC759" s="815">
        <f t="shared" si="141"/>
        <v>9.4662851350798896E-2</v>
      </c>
      <c r="AD759" s="826">
        <v>35696.770000000004</v>
      </c>
      <c r="AE759" s="826">
        <v>4773.88</v>
      </c>
      <c r="AF759" s="815">
        <f t="shared" si="133"/>
        <v>0.13373422861508197</v>
      </c>
      <c r="AG759" s="826">
        <v>2972.13</v>
      </c>
      <c r="AH759" s="815">
        <f t="shared" si="134"/>
        <v>8.3260474266999507E-2</v>
      </c>
      <c r="AI759" s="826">
        <v>2546.88</v>
      </c>
      <c r="AJ759" s="815">
        <f t="shared" si="135"/>
        <v>7.1347631732506883E-2</v>
      </c>
      <c r="AK759" s="826">
        <v>8827.1200000000008</v>
      </c>
      <c r="AL759" s="815">
        <f t="shared" si="136"/>
        <v>0.24728063631527444</v>
      </c>
      <c r="AM759" s="350">
        <f>IFERROR(T759/(D759+D714+D670)*90,"0.00")</f>
        <v>20.745550939457935</v>
      </c>
      <c r="AN759" s="350">
        <f>IFERROR(U759/(F759+F714+F670)*90,"0.00")</f>
        <v>16.163400660807973</v>
      </c>
      <c r="AO759" s="350">
        <f>IFERROR(AD759/(E759+E714+E670)*90,"0.00")</f>
        <v>91.452015371477373</v>
      </c>
      <c r="AP759" s="816">
        <f t="shared" si="150"/>
        <v>9.9715272988421796E-2</v>
      </c>
    </row>
    <row r="760" spans="1:42" x14ac:dyDescent="0.2">
      <c r="A760" s="638">
        <v>42853</v>
      </c>
      <c r="B760" s="826" t="s">
        <v>135</v>
      </c>
      <c r="C760" s="826" t="s">
        <v>185</v>
      </c>
      <c r="D760" s="826">
        <v>136617</v>
      </c>
      <c r="E760" s="826">
        <v>5855</v>
      </c>
      <c r="F760" s="826">
        <v>130762</v>
      </c>
      <c r="G760" s="826">
        <v>84712.780693769499</v>
      </c>
      <c r="H760" s="826">
        <v>41259.760327577598</v>
      </c>
      <c r="I760" s="826">
        <v>43453.0203661919</v>
      </c>
      <c r="J760" s="826">
        <v>5957.2800071239499</v>
      </c>
      <c r="K760" s="343">
        <f t="shared" si="142"/>
        <v>78755.500686645551</v>
      </c>
      <c r="L760" s="826">
        <v>51214.119386911399</v>
      </c>
      <c r="M760" s="826">
        <v>1903.73999667168</v>
      </c>
      <c r="N760" s="827">
        <v>692</v>
      </c>
      <c r="O760" s="343">
        <f t="shared" si="144"/>
        <v>197.42341040462426</v>
      </c>
      <c r="P760" s="343">
        <f t="shared" si="145"/>
        <v>120.6634980006025</v>
      </c>
      <c r="Q760" s="343">
        <f t="shared" si="146"/>
        <v>122.4173131412854</v>
      </c>
      <c r="R760" s="344">
        <f t="shared" si="147"/>
        <v>0.62007495914688138</v>
      </c>
      <c r="S760" s="344">
        <f t="shared" si="148"/>
        <v>1.0924780502831668</v>
      </c>
      <c r="T760" s="343">
        <f t="shared" si="149"/>
        <v>122345.4</v>
      </c>
      <c r="U760" s="826">
        <v>86021.85</v>
      </c>
      <c r="V760" s="826">
        <v>5069.2</v>
      </c>
      <c r="W760" s="815">
        <f t="shared" si="138"/>
        <v>5.8929213914836749E-2</v>
      </c>
      <c r="X760" s="826">
        <v>1641.39</v>
      </c>
      <c r="Y760" s="815">
        <f t="shared" si="139"/>
        <v>1.9081082306414011E-2</v>
      </c>
      <c r="Z760" s="826">
        <v>860.86</v>
      </c>
      <c r="AA760" s="815">
        <f t="shared" si="140"/>
        <v>1.000745740762376E-2</v>
      </c>
      <c r="AB760" s="826">
        <v>8497.3799999999992</v>
      </c>
      <c r="AC760" s="815">
        <f t="shared" si="141"/>
        <v>9.8781646756027672E-2</v>
      </c>
      <c r="AD760" s="826">
        <v>36323.549999999996</v>
      </c>
      <c r="AE760" s="826">
        <v>1952.76</v>
      </c>
      <c r="AF760" s="815">
        <f t="shared" si="133"/>
        <v>5.3760163860635875E-2</v>
      </c>
      <c r="AG760" s="826">
        <v>1368.4</v>
      </c>
      <c r="AH760" s="815">
        <f t="shared" si="134"/>
        <v>3.7672529254436864E-2</v>
      </c>
      <c r="AI760" s="826">
        <v>1571.94</v>
      </c>
      <c r="AJ760" s="815">
        <f t="shared" si="135"/>
        <v>4.3276056442721055E-2</v>
      </c>
      <c r="AK760" s="826">
        <v>8375.83</v>
      </c>
      <c r="AL760" s="815">
        <f t="shared" si="136"/>
        <v>0.23058952112334838</v>
      </c>
      <c r="AM760" s="350">
        <f>IFERROR(T760/(D760+D715+D672)*90,"0.00")</f>
        <v>25.647143940349643</v>
      </c>
      <c r="AN760" s="350">
        <f>IFERROR(U760/(F760+F715+F672)*90,"0.00")</f>
        <v>18.769909323772314</v>
      </c>
      <c r="AO760" s="350">
        <f>IFERROR(AD760/(E760+E715+E672)*90,"0.00")</f>
        <v>193.86345845934886</v>
      </c>
      <c r="AP760" s="816">
        <f t="shared" si="150"/>
        <v>7.1345405032260625E-2</v>
      </c>
    </row>
    <row r="761" spans="1:42" x14ac:dyDescent="0.2">
      <c r="A761" s="638">
        <v>42853</v>
      </c>
      <c r="B761" s="826" t="s">
        <v>135</v>
      </c>
      <c r="C761" s="826" t="s">
        <v>179</v>
      </c>
      <c r="D761" s="826">
        <v>97457</v>
      </c>
      <c r="E761" s="826">
        <v>7949</v>
      </c>
      <c r="F761" s="826">
        <v>89508</v>
      </c>
      <c r="G761" s="826">
        <v>64221.630437430002</v>
      </c>
      <c r="H761" s="826">
        <v>30741.0002522469</v>
      </c>
      <c r="I761" s="826">
        <v>33480.630185183101</v>
      </c>
      <c r="J761" s="826">
        <v>3963.5600001811999</v>
      </c>
      <c r="K761" s="343">
        <f t="shared" si="142"/>
        <v>60258.070437248804</v>
      </c>
      <c r="L761" s="826">
        <v>35097.019658565499</v>
      </c>
      <c r="M761" s="826">
        <v>2781.8299914691602</v>
      </c>
      <c r="N761" s="827">
        <v>513</v>
      </c>
      <c r="O761" s="343">
        <f t="shared" si="144"/>
        <v>189.97465886939571</v>
      </c>
      <c r="P761" s="343">
        <f t="shared" si="145"/>
        <v>116.13674532156986</v>
      </c>
      <c r="Q761" s="343">
        <f t="shared" si="146"/>
        <v>125.18836342578948</v>
      </c>
      <c r="R761" s="344">
        <f t="shared" si="147"/>
        <v>0.65897401353858631</v>
      </c>
      <c r="S761" s="344">
        <f t="shared" si="148"/>
        <v>1.1547622671229343</v>
      </c>
      <c r="T761" s="343">
        <f t="shared" si="149"/>
        <v>84389.639999999985</v>
      </c>
      <c r="U761" s="826">
        <v>61905.109999999993</v>
      </c>
      <c r="V761" s="826">
        <v>1979</v>
      </c>
      <c r="W761" s="815">
        <f t="shared" si="138"/>
        <v>3.1968281778354E-2</v>
      </c>
      <c r="X761" s="826">
        <v>2284.1799999999998</v>
      </c>
      <c r="Y761" s="815">
        <f t="shared" si="139"/>
        <v>3.6898084826923014E-2</v>
      </c>
      <c r="Z761" s="826">
        <v>1482</v>
      </c>
      <c r="AA761" s="815">
        <f t="shared" si="140"/>
        <v>2.393986538429542E-2</v>
      </c>
      <c r="AB761" s="826">
        <v>5877.49</v>
      </c>
      <c r="AC761" s="815">
        <f t="shared" si="141"/>
        <v>9.4943535355966585E-2</v>
      </c>
      <c r="AD761" s="826">
        <v>22484.53</v>
      </c>
      <c r="AE761" s="826">
        <v>2483.64</v>
      </c>
      <c r="AF761" s="815">
        <f t="shared" si="133"/>
        <v>0.11045994735046719</v>
      </c>
      <c r="AG761" s="826">
        <v>1011.53</v>
      </c>
      <c r="AH761" s="815">
        <f t="shared" si="134"/>
        <v>4.4987820514816187E-2</v>
      </c>
      <c r="AI761" s="826">
        <v>1151.5</v>
      </c>
      <c r="AJ761" s="815">
        <f t="shared" si="135"/>
        <v>5.1212989553261735E-2</v>
      </c>
      <c r="AK761" s="826">
        <v>8540.77</v>
      </c>
      <c r="AL761" s="815">
        <f t="shared" si="136"/>
        <v>0.37985094640626249</v>
      </c>
      <c r="AM761" s="350">
        <f>IFERROR(T761/(D761+D716+D673)*90,"0.00")</f>
        <v>25.283349423098681</v>
      </c>
      <c r="AN761" s="350">
        <f>IFERROR(U761/(F761+F716+F673)*90,"0.00")</f>
        <v>19.788668006876268</v>
      </c>
      <c r="AO761" s="350">
        <f>IFERROR(AD761/(E761+E716+E673)*90,"0.00")</f>
        <v>107.35319363395224</v>
      </c>
      <c r="AP761" s="816">
        <f t="shared" si="150"/>
        <v>6.6527073715767104E-2</v>
      </c>
    </row>
    <row r="762" spans="1:42" x14ac:dyDescent="0.2">
      <c r="A762" s="638">
        <v>42853</v>
      </c>
      <c r="B762" s="826" t="s">
        <v>135</v>
      </c>
      <c r="C762" s="826" t="s">
        <v>186</v>
      </c>
      <c r="D762" s="826">
        <v>104704.5</v>
      </c>
      <c r="E762" s="826">
        <v>6975</v>
      </c>
      <c r="F762" s="826">
        <v>97729.5</v>
      </c>
      <c r="G762" s="826">
        <v>63937.210508584998</v>
      </c>
      <c r="H762" s="826">
        <v>29361.740357637402</v>
      </c>
      <c r="I762" s="826">
        <v>34575.4701509476</v>
      </c>
      <c r="J762" s="826">
        <v>7307.2500042915299</v>
      </c>
      <c r="K762" s="343">
        <f t="shared" si="142"/>
        <v>56629.960504293478</v>
      </c>
      <c r="L762" s="826">
        <v>36171.049582243002</v>
      </c>
      <c r="M762" s="826">
        <v>2169.72000205517</v>
      </c>
      <c r="N762" s="827">
        <v>532</v>
      </c>
      <c r="O762" s="343">
        <f t="shared" si="144"/>
        <v>196.81296992481202</v>
      </c>
      <c r="P762" s="343">
        <f t="shared" si="145"/>
        <v>124.74385416485308</v>
      </c>
      <c r="Q762" s="343">
        <f t="shared" si="146"/>
        <v>120.18272651989663</v>
      </c>
      <c r="R762" s="344">
        <f t="shared" si="147"/>
        <v>0.61064434201572049</v>
      </c>
      <c r="S762" s="344">
        <f t="shared" si="148"/>
        <v>1.0826451231630068</v>
      </c>
      <c r="T762" s="343">
        <f t="shared" si="149"/>
        <v>86090.240000000005</v>
      </c>
      <c r="U762" s="826">
        <v>64888.840000000004</v>
      </c>
      <c r="V762" s="826">
        <v>1836</v>
      </c>
      <c r="W762" s="815">
        <f t="shared" si="138"/>
        <v>2.8294541865750721E-2</v>
      </c>
      <c r="X762" s="826">
        <v>1292</v>
      </c>
      <c r="Y762" s="815">
        <f t="shared" si="139"/>
        <v>1.9910973905528283E-2</v>
      </c>
      <c r="Z762" s="826">
        <v>2147.5</v>
      </c>
      <c r="AA762" s="815">
        <f t="shared" si="140"/>
        <v>3.3095059181208968E-2</v>
      </c>
      <c r="AB762" s="826">
        <v>4638.6400000000003</v>
      </c>
      <c r="AC762" s="815">
        <f t="shared" si="141"/>
        <v>7.1485944270231985E-2</v>
      </c>
      <c r="AD762" s="826">
        <v>21201.4</v>
      </c>
      <c r="AE762" s="826">
        <v>3123.47</v>
      </c>
      <c r="AF762" s="815">
        <f t="shared" si="133"/>
        <v>0.14732376163838234</v>
      </c>
      <c r="AG762" s="826">
        <v>1379.45</v>
      </c>
      <c r="AH762" s="815">
        <f t="shared" si="134"/>
        <v>6.5064099540596373E-2</v>
      </c>
      <c r="AI762" s="826">
        <v>784.7</v>
      </c>
      <c r="AJ762" s="815">
        <f t="shared" si="135"/>
        <v>3.7011706774080957E-2</v>
      </c>
      <c r="AK762" s="826">
        <v>7680.8</v>
      </c>
      <c r="AL762" s="815">
        <f t="shared" si="136"/>
        <v>0.36227796277604307</v>
      </c>
      <c r="AM762" s="350">
        <f>IFERROR(T762/(D762+D717+D674)*90,"0.00")</f>
        <v>24.579047122532803</v>
      </c>
      <c r="AN762" s="350">
        <f>IFERROR(U762/(F762+F717+F674)*90,"0.00")</f>
        <v>19.59350097839101</v>
      </c>
      <c r="AO762" s="350">
        <f>IFERROR(AD762/(E762+E717+E674)*90,"0.00")</f>
        <v>111.09903930131006</v>
      </c>
      <c r="AP762" s="816">
        <f t="shared" si="150"/>
        <v>0.11010909059088418</v>
      </c>
    </row>
    <row r="763" spans="1:42" x14ac:dyDescent="0.2">
      <c r="A763" s="638">
        <v>42853</v>
      </c>
      <c r="B763" s="826" t="s">
        <v>135</v>
      </c>
      <c r="C763" s="826" t="s">
        <v>187</v>
      </c>
      <c r="D763" s="826">
        <v>124790.52</v>
      </c>
      <c r="E763" s="826">
        <v>6161</v>
      </c>
      <c r="F763" s="826">
        <v>118629.52</v>
      </c>
      <c r="G763" s="826">
        <v>73867.360574245497</v>
      </c>
      <c r="H763" s="826">
        <v>34736.380380749702</v>
      </c>
      <c r="I763" s="826">
        <v>39130.980193495801</v>
      </c>
      <c r="J763" s="826">
        <v>5726.0400178432501</v>
      </c>
      <c r="K763" s="343">
        <f t="shared" si="142"/>
        <v>68141.320556402265</v>
      </c>
      <c r="L763" s="826">
        <v>44870.029480934099</v>
      </c>
      <c r="M763" s="826">
        <v>1527.9300041198701</v>
      </c>
      <c r="N763" s="827">
        <v>611</v>
      </c>
      <c r="O763" s="343">
        <f t="shared" si="144"/>
        <v>204.23980360065468</v>
      </c>
      <c r="P763" s="343">
        <f t="shared" si="145"/>
        <v>128.30206303591822</v>
      </c>
      <c r="Q763" s="343">
        <f t="shared" si="146"/>
        <v>120.89584382036908</v>
      </c>
      <c r="R763" s="344">
        <f t="shared" si="147"/>
        <v>0.59193086601646916</v>
      </c>
      <c r="S763" s="344">
        <f t="shared" si="148"/>
        <v>1.0165253554033953</v>
      </c>
      <c r="T763" s="343">
        <f t="shared" si="149"/>
        <v>94415.15</v>
      </c>
      <c r="U763" s="826">
        <v>72447.94</v>
      </c>
      <c r="V763" s="826">
        <v>2130.5</v>
      </c>
      <c r="W763" s="815">
        <f t="shared" si="138"/>
        <v>2.9407323382831863E-2</v>
      </c>
      <c r="X763" s="826">
        <v>1567.33</v>
      </c>
      <c r="Y763" s="815">
        <f t="shared" si="139"/>
        <v>2.1633879445019415E-2</v>
      </c>
      <c r="Z763" s="826">
        <v>692.08</v>
      </c>
      <c r="AA763" s="815">
        <f t="shared" si="140"/>
        <v>9.5527905969445097E-3</v>
      </c>
      <c r="AB763" s="826">
        <v>4826.92</v>
      </c>
      <c r="AC763" s="815">
        <f t="shared" si="141"/>
        <v>6.6626048994629802E-2</v>
      </c>
      <c r="AD763" s="826">
        <v>21967.21</v>
      </c>
      <c r="AE763" s="826">
        <v>1925.94</v>
      </c>
      <c r="AF763" s="815">
        <f t="shared" si="133"/>
        <v>8.7673400491004555E-2</v>
      </c>
      <c r="AG763" s="826">
        <v>1257.8499999999999</v>
      </c>
      <c r="AH763" s="815">
        <f t="shared" si="134"/>
        <v>5.7260343939899511E-2</v>
      </c>
      <c r="AI763" s="826">
        <v>1287.8699999999999</v>
      </c>
      <c r="AJ763" s="815">
        <f t="shared" si="135"/>
        <v>5.8626926223220882E-2</v>
      </c>
      <c r="AK763" s="826">
        <v>5569.87</v>
      </c>
      <c r="AL763" s="815">
        <f t="shared" si="136"/>
        <v>0.25355381953375056</v>
      </c>
      <c r="AM763" s="350">
        <f>IFERROR(T763/(D763+D718+D675)*90,"0.00")</f>
        <v>22.196729422968232</v>
      </c>
      <c r="AN763" s="350">
        <f>IFERROR(U763/(F763+F718+F675)*90,"0.00")</f>
        <v>17.989530267469334</v>
      </c>
      <c r="AO763" s="350">
        <f>IFERROR(AD763/(E763+E718+E675)*90,"0.00")</f>
        <v>97.056892488954347</v>
      </c>
      <c r="AP763" s="816">
        <f t="shared" si="150"/>
        <v>7.3043155884052857E-2</v>
      </c>
    </row>
    <row r="764" spans="1:42" x14ac:dyDescent="0.2">
      <c r="A764" s="638">
        <v>42853</v>
      </c>
      <c r="B764" s="826" t="s">
        <v>135</v>
      </c>
      <c r="C764" s="826" t="s">
        <v>188</v>
      </c>
      <c r="D764" s="826">
        <v>151354.50999809199</v>
      </c>
      <c r="E764" s="826">
        <v>12711</v>
      </c>
      <c r="F764" s="826">
        <v>138643.50999809199</v>
      </c>
      <c r="G764" s="826">
        <v>85296.380598068194</v>
      </c>
      <c r="H764" s="826">
        <v>39437.140406250997</v>
      </c>
      <c r="I764" s="826">
        <v>45859.240191817298</v>
      </c>
      <c r="J764" s="826">
        <v>7339.1200170517004</v>
      </c>
      <c r="K764" s="343">
        <f t="shared" si="142"/>
        <v>77957.260581016599</v>
      </c>
      <c r="L764" s="826">
        <v>44110.719442725203</v>
      </c>
      <c r="M764" s="826">
        <v>2261.8500096201901</v>
      </c>
      <c r="N764" s="827">
        <v>813</v>
      </c>
      <c r="O764" s="343">
        <f t="shared" si="144"/>
        <v>186.16790897674292</v>
      </c>
      <c r="P764" s="343">
        <f t="shared" si="145"/>
        <v>129.12907816204992</v>
      </c>
      <c r="Q764" s="343">
        <f t="shared" si="146"/>
        <v>104.91559729159692</v>
      </c>
      <c r="R764" s="344">
        <f t="shared" si="147"/>
        <v>0.56355361065318477</v>
      </c>
      <c r="S764" s="344">
        <f t="shared" si="148"/>
        <v>0.87355506668308225</v>
      </c>
      <c r="T764" s="343">
        <f t="shared" si="149"/>
        <v>122115.83</v>
      </c>
      <c r="U764" s="826">
        <v>90896.95</v>
      </c>
      <c r="V764" s="826">
        <v>3232.5</v>
      </c>
      <c r="W764" s="815">
        <f t="shared" si="138"/>
        <v>3.5562249338399146E-2</v>
      </c>
      <c r="X764" s="826">
        <v>2833.31</v>
      </c>
      <c r="Y764" s="815">
        <f t="shared" si="139"/>
        <v>3.1170572830001447E-2</v>
      </c>
      <c r="Z764" s="826">
        <v>2282.5</v>
      </c>
      <c r="AA764" s="815">
        <f t="shared" si="140"/>
        <v>2.5110853554492205E-2</v>
      </c>
      <c r="AB764" s="826">
        <v>6816.55</v>
      </c>
      <c r="AC764" s="815">
        <f t="shared" si="141"/>
        <v>7.499206519030617E-2</v>
      </c>
      <c r="AD764" s="826">
        <v>31218.880000000005</v>
      </c>
      <c r="AE764" s="826">
        <v>3555.12</v>
      </c>
      <c r="AF764" s="815">
        <f t="shared" si="133"/>
        <v>0.11387724351418115</v>
      </c>
      <c r="AG764" s="826">
        <v>1193.4100000000001</v>
      </c>
      <c r="AH764" s="815">
        <f t="shared" si="134"/>
        <v>3.8227188163060297E-2</v>
      </c>
      <c r="AI764" s="826">
        <v>1355.22</v>
      </c>
      <c r="AJ764" s="815">
        <f t="shared" si="135"/>
        <v>4.3410269682961071E-2</v>
      </c>
      <c r="AK764" s="826">
        <v>10705.17</v>
      </c>
      <c r="AL764" s="815">
        <f t="shared" si="136"/>
        <v>0.3429069204276386</v>
      </c>
      <c r="AM764" s="350">
        <f>IFERROR(T764/(D764+D719+D676)*90,"0.00")</f>
        <v>25.885799375588437</v>
      </c>
      <c r="AN764" s="350">
        <f>IFERROR(U764/(F764+F719+F676)*90,"0.00")</f>
        <v>20.681559507235669</v>
      </c>
      <c r="AO764" s="350">
        <f>IFERROR(AD764/(E764+E719+E676)*90,"0.00")</f>
        <v>96.829417238170748</v>
      </c>
      <c r="AP764" s="816">
        <f t="shared" si="150"/>
        <v>6.9908404997082604E-2</v>
      </c>
    </row>
    <row r="765" spans="1:42" x14ac:dyDescent="0.2">
      <c r="A765" s="638">
        <v>42853</v>
      </c>
      <c r="B765" s="826" t="s">
        <v>135</v>
      </c>
      <c r="C765" s="826" t="s">
        <v>184</v>
      </c>
      <c r="D765" s="826">
        <v>0</v>
      </c>
      <c r="E765" s="826">
        <v>0</v>
      </c>
      <c r="F765" s="826">
        <v>0</v>
      </c>
      <c r="G765" s="826">
        <v>0.58999997377299995</v>
      </c>
      <c r="H765" s="826">
        <v>0.58999997377299995</v>
      </c>
      <c r="I765" s="826">
        <v>0</v>
      </c>
      <c r="J765" s="826">
        <v>0</v>
      </c>
      <c r="K765" s="343">
        <f t="shared" si="142"/>
        <v>0.58999997377299995</v>
      </c>
      <c r="L765" s="826">
        <v>0</v>
      </c>
      <c r="M765" s="826">
        <v>-9.350000381469</v>
      </c>
      <c r="N765" s="827">
        <v>0</v>
      </c>
      <c r="O765" s="343" t="str">
        <f t="shared" si="144"/>
        <v>$0.00</v>
      </c>
      <c r="P765" s="343" t="str">
        <f t="shared" si="145"/>
        <v>$0.00</v>
      </c>
      <c r="Q765" s="343" t="str">
        <f t="shared" si="146"/>
        <v>$0.00</v>
      </c>
      <c r="R765" s="344" t="str">
        <f t="shared" si="147"/>
        <v>0.00%</v>
      </c>
      <c r="S765" s="344">
        <f t="shared" si="148"/>
        <v>6.3101598898577124E-2</v>
      </c>
      <c r="T765" s="343">
        <f t="shared" si="149"/>
        <v>-167.59</v>
      </c>
      <c r="U765" s="826">
        <v>-167</v>
      </c>
      <c r="V765" s="826">
        <v>0</v>
      </c>
      <c r="W765" s="815">
        <f t="shared" si="138"/>
        <v>0</v>
      </c>
      <c r="X765" s="826">
        <v>0</v>
      </c>
      <c r="Y765" s="815">
        <f t="shared" si="139"/>
        <v>0</v>
      </c>
      <c r="Z765" s="826">
        <v>0</v>
      </c>
      <c r="AA765" s="815">
        <f t="shared" si="140"/>
        <v>0</v>
      </c>
      <c r="AB765" s="826">
        <v>-167</v>
      </c>
      <c r="AC765" s="815">
        <f t="shared" si="141"/>
        <v>1</v>
      </c>
      <c r="AD765" s="826">
        <v>-0.59</v>
      </c>
      <c r="AE765" s="826">
        <v>0</v>
      </c>
      <c r="AF765" s="815">
        <f t="shared" si="133"/>
        <v>0</v>
      </c>
      <c r="AG765" s="826">
        <v>0</v>
      </c>
      <c r="AH765" s="815">
        <f t="shared" si="134"/>
        <v>0</v>
      </c>
      <c r="AI765" s="826">
        <v>0</v>
      </c>
      <c r="AJ765" s="815">
        <f t="shared" si="135"/>
        <v>0</v>
      </c>
      <c r="AK765" s="826">
        <v>-0.59</v>
      </c>
      <c r="AL765" s="815">
        <f t="shared" si="136"/>
        <v>1</v>
      </c>
      <c r="AM765" s="350">
        <v>0</v>
      </c>
      <c r="AN765" s="350">
        <v>0</v>
      </c>
      <c r="AO765" s="350">
        <v>0</v>
      </c>
      <c r="AP765" s="816">
        <v>0</v>
      </c>
    </row>
    <row r="766" spans="1:42" x14ac:dyDescent="0.2">
      <c r="A766" s="638">
        <v>42853</v>
      </c>
      <c r="B766" s="826" t="s">
        <v>136</v>
      </c>
      <c r="C766" s="826" t="s">
        <v>189</v>
      </c>
      <c r="D766" s="826">
        <v>113159.399998665</v>
      </c>
      <c r="E766" s="826">
        <v>4637</v>
      </c>
      <c r="F766" s="826">
        <v>108522.399998665</v>
      </c>
      <c r="G766" s="826">
        <v>68366.200032413006</v>
      </c>
      <c r="H766" s="826">
        <v>30754.270000934601</v>
      </c>
      <c r="I766" s="826">
        <v>37611.930031478398</v>
      </c>
      <c r="J766" s="826">
        <v>4407.46001386642</v>
      </c>
      <c r="K766" s="343">
        <f t="shared" si="142"/>
        <v>63958.740018546589</v>
      </c>
      <c r="L766" s="826">
        <v>43046.570001125299</v>
      </c>
      <c r="M766" s="826">
        <v>1287.2399971485099</v>
      </c>
      <c r="N766" s="827">
        <v>543</v>
      </c>
      <c r="O766" s="343">
        <f t="shared" si="144"/>
        <v>208.39668508041436</v>
      </c>
      <c r="P766" s="343">
        <f t="shared" si="145"/>
        <v>126.7506261517333</v>
      </c>
      <c r="Q766" s="343">
        <f t="shared" si="146"/>
        <v>125.90460411125784</v>
      </c>
      <c r="R766" s="344">
        <f t="shared" si="147"/>
        <v>0.6041583821867168</v>
      </c>
      <c r="S766" s="344">
        <f t="shared" si="148"/>
        <v>1.0612881815525244</v>
      </c>
      <c r="T766" s="343">
        <f t="shared" si="149"/>
        <v>98778.32</v>
      </c>
      <c r="U766" s="826">
        <v>73049.340000000011</v>
      </c>
      <c r="V766" s="826">
        <v>3399.5</v>
      </c>
      <c r="W766" s="815">
        <f t="shared" si="138"/>
        <v>4.6537039212127027E-2</v>
      </c>
      <c r="X766" s="826">
        <v>2963.49</v>
      </c>
      <c r="Y766" s="815">
        <f t="shared" si="139"/>
        <v>4.0568333676936699E-2</v>
      </c>
      <c r="Z766" s="826">
        <v>972</v>
      </c>
      <c r="AA766" s="815">
        <f t="shared" si="140"/>
        <v>1.3306075044620525E-2</v>
      </c>
      <c r="AB766" s="826">
        <v>4243.1899999999996</v>
      </c>
      <c r="AC766" s="815">
        <f t="shared" si="141"/>
        <v>5.8086630214591935E-2</v>
      </c>
      <c r="AD766" s="826">
        <v>25728.980000000003</v>
      </c>
      <c r="AE766" s="826">
        <v>2893.14</v>
      </c>
      <c r="AF766" s="815">
        <f t="shared" si="133"/>
        <v>0.11244674293345479</v>
      </c>
      <c r="AG766" s="826">
        <v>1374.08</v>
      </c>
      <c r="AH766" s="815">
        <f t="shared" si="134"/>
        <v>5.3405925924774313E-2</v>
      </c>
      <c r="AI766" s="826">
        <v>1268.68</v>
      </c>
      <c r="AJ766" s="815">
        <f t="shared" si="135"/>
        <v>4.930937798544676E-2</v>
      </c>
      <c r="AK766" s="826">
        <v>8033.4</v>
      </c>
      <c r="AL766" s="815">
        <f t="shared" si="136"/>
        <v>0.31223157699994319</v>
      </c>
      <c r="AM766" s="350">
        <f t="shared" ref="AM766:AM776" si="151">IFERROR(T766/(D766+D720+D677)*90,"0.00")</f>
        <v>22.514822472212906</v>
      </c>
      <c r="AN766" s="350">
        <f t="shared" ref="AN766:AN776" si="152">IFERROR(U766/(F766+F720+F677)*90,"0.00")</f>
        <v>17.348541078597535</v>
      </c>
      <c r="AO766" s="350">
        <f t="shared" ref="AO766:AO772" si="153">IFERROR(AD766/(E766+E720+E677)*90,"0.00")</f>
        <v>145.71821785916558</v>
      </c>
      <c r="AP766" s="816">
        <f t="shared" si="150"/>
        <v>6.403809998347082E-2</v>
      </c>
    </row>
    <row r="767" spans="1:42" x14ac:dyDescent="0.2">
      <c r="A767" s="638">
        <v>42853</v>
      </c>
      <c r="B767" s="826" t="s">
        <v>136</v>
      </c>
      <c r="C767" s="826" t="s">
        <v>190</v>
      </c>
      <c r="D767" s="826">
        <v>157604.88000423301</v>
      </c>
      <c r="E767" s="826">
        <v>5871</v>
      </c>
      <c r="F767" s="826">
        <v>151733.88000423301</v>
      </c>
      <c r="G767" s="826">
        <v>90029.060005188003</v>
      </c>
      <c r="H767" s="826">
        <v>39334.709944963499</v>
      </c>
      <c r="I767" s="826">
        <v>50694.350060224497</v>
      </c>
      <c r="J767" s="826">
        <v>6045.52004301548</v>
      </c>
      <c r="K767" s="343">
        <f t="shared" si="142"/>
        <v>83983.539962172508</v>
      </c>
      <c r="L767" s="826">
        <v>52279.400031328201</v>
      </c>
      <c r="M767" s="826">
        <v>2418.5399985313402</v>
      </c>
      <c r="N767" s="827">
        <v>742</v>
      </c>
      <c r="O767" s="343">
        <f t="shared" si="144"/>
        <v>212.40549865799596</v>
      </c>
      <c r="P767" s="343">
        <f t="shared" si="145"/>
        <v>138.68859834821222</v>
      </c>
      <c r="Q767" s="343">
        <f t="shared" si="146"/>
        <v>121.33296496656062</v>
      </c>
      <c r="R767" s="344">
        <f t="shared" si="147"/>
        <v>0.57123269281236699</v>
      </c>
      <c r="S767" s="344">
        <f t="shared" si="148"/>
        <v>0.92946252562669607</v>
      </c>
      <c r="T767" s="343">
        <f t="shared" si="149"/>
        <v>135938.6</v>
      </c>
      <c r="U767" s="826">
        <v>104425.03000000001</v>
      </c>
      <c r="V767" s="826">
        <v>4671.49</v>
      </c>
      <c r="W767" s="815">
        <f t="shared" si="138"/>
        <v>4.4735347454532684E-2</v>
      </c>
      <c r="X767" s="826">
        <v>3523.92</v>
      </c>
      <c r="Y767" s="815">
        <f t="shared" si="139"/>
        <v>3.3745932368896614E-2</v>
      </c>
      <c r="Z767" s="826">
        <v>3379.8</v>
      </c>
      <c r="AA767" s="815">
        <f t="shared" si="140"/>
        <v>3.2365803486003306E-2</v>
      </c>
      <c r="AB767" s="826">
        <v>6177.02</v>
      </c>
      <c r="AC767" s="815">
        <f t="shared" si="141"/>
        <v>5.9152676326738901E-2</v>
      </c>
      <c r="AD767" s="826">
        <v>31513.57</v>
      </c>
      <c r="AE767" s="826">
        <v>4171.3</v>
      </c>
      <c r="AF767" s="815">
        <f t="shared" si="133"/>
        <v>0.1323652001344183</v>
      </c>
      <c r="AG767" s="826">
        <v>1565.41</v>
      </c>
      <c r="AH767" s="815">
        <f t="shared" si="134"/>
        <v>4.9674156244436926E-2</v>
      </c>
      <c r="AI767" s="826">
        <v>1571.75</v>
      </c>
      <c r="AJ767" s="815">
        <f t="shared" si="135"/>
        <v>4.9875339417273255E-2</v>
      </c>
      <c r="AK767" s="826">
        <v>11789.83</v>
      </c>
      <c r="AL767" s="815">
        <f t="shared" si="136"/>
        <v>0.37411914930615603</v>
      </c>
      <c r="AM767" s="350">
        <f t="shared" si="151"/>
        <v>25.257295893683981</v>
      </c>
      <c r="AN767" s="350">
        <f t="shared" si="152"/>
        <v>20.338327132771123</v>
      </c>
      <c r="AO767" s="350">
        <f t="shared" si="153"/>
        <v>127.1962193918737</v>
      </c>
      <c r="AP767" s="816">
        <f t="shared" si="150"/>
        <v>5.8747447397823442E-2</v>
      </c>
    </row>
    <row r="768" spans="1:42" x14ac:dyDescent="0.2">
      <c r="A768" s="638">
        <v>42853</v>
      </c>
      <c r="B768" s="826" t="s">
        <v>136</v>
      </c>
      <c r="C768" s="826" t="s">
        <v>191</v>
      </c>
      <c r="D768" s="826">
        <v>165406.820005188</v>
      </c>
      <c r="E768" s="826">
        <v>6416</v>
      </c>
      <c r="F768" s="826">
        <v>158990.820005188</v>
      </c>
      <c r="G768" s="826">
        <v>94479.970050931006</v>
      </c>
      <c r="H768" s="826">
        <v>45383.749980211302</v>
      </c>
      <c r="I768" s="826">
        <v>49096.220070719697</v>
      </c>
      <c r="J768" s="826">
        <v>6318.3000178337097</v>
      </c>
      <c r="K768" s="343">
        <f t="shared" si="142"/>
        <v>88161.670033097296</v>
      </c>
      <c r="L768" s="826">
        <v>54486.419989109003</v>
      </c>
      <c r="M768" s="826">
        <v>4007.2399961352298</v>
      </c>
      <c r="N768" s="827">
        <v>767</v>
      </c>
      <c r="O768" s="343">
        <f t="shared" si="144"/>
        <v>215.65426337051889</v>
      </c>
      <c r="P768" s="343">
        <f t="shared" si="145"/>
        <v>139.39134292039603</v>
      </c>
      <c r="Q768" s="343">
        <f t="shared" si="146"/>
        <v>123.18118650708084</v>
      </c>
      <c r="R768" s="344">
        <f t="shared" si="147"/>
        <v>0.57119754825083779</v>
      </c>
      <c r="S768" s="344">
        <f t="shared" si="148"/>
        <v>0.93921269982332323</v>
      </c>
      <c r="T768" s="343">
        <f t="shared" si="149"/>
        <v>167630.97</v>
      </c>
      <c r="U768" s="826">
        <v>123766.55</v>
      </c>
      <c r="V768" s="826">
        <v>5408.96</v>
      </c>
      <c r="W768" s="815">
        <f t="shared" si="138"/>
        <v>4.3702922962626005E-2</v>
      </c>
      <c r="X768" s="826">
        <v>3565.97</v>
      </c>
      <c r="Y768" s="815">
        <f t="shared" si="139"/>
        <v>2.8812065941888173E-2</v>
      </c>
      <c r="Z768" s="826">
        <v>2375.9299999999998</v>
      </c>
      <c r="AA768" s="815">
        <f t="shared" si="140"/>
        <v>1.9196867004857128E-2</v>
      </c>
      <c r="AB768" s="826">
        <v>7794.09</v>
      </c>
      <c r="AC768" s="815">
        <f t="shared" si="141"/>
        <v>6.2974123460660406E-2</v>
      </c>
      <c r="AD768" s="826">
        <v>43864.42</v>
      </c>
      <c r="AE768" s="826">
        <v>5399.89</v>
      </c>
      <c r="AF768" s="815">
        <f t="shared" si="133"/>
        <v>0.1231041012282848</v>
      </c>
      <c r="AG768" s="826">
        <v>4028.64</v>
      </c>
      <c r="AH768" s="815">
        <f t="shared" si="134"/>
        <v>9.1843001685648643E-2</v>
      </c>
      <c r="AI768" s="826">
        <v>3279.06</v>
      </c>
      <c r="AJ768" s="815">
        <f t="shared" si="135"/>
        <v>7.475443651141403E-2</v>
      </c>
      <c r="AK768" s="826">
        <v>14127.02</v>
      </c>
      <c r="AL768" s="815">
        <f t="shared" si="136"/>
        <v>0.32206102349010884</v>
      </c>
      <c r="AM768" s="350">
        <f t="shared" si="151"/>
        <v>24.719238933139586</v>
      </c>
      <c r="AN768" s="350">
        <f t="shared" si="152"/>
        <v>18.900474746617771</v>
      </c>
      <c r="AO768" s="350">
        <f t="shared" si="153"/>
        <v>188.20546338672767</v>
      </c>
      <c r="AP768" s="816">
        <f t="shared" si="150"/>
        <v>5.9097495730694741E-2</v>
      </c>
    </row>
    <row r="769" spans="1:42" x14ac:dyDescent="0.2">
      <c r="A769" s="638">
        <v>42853</v>
      </c>
      <c r="B769" s="826" t="s">
        <v>136</v>
      </c>
      <c r="C769" s="826" t="s">
        <v>192</v>
      </c>
      <c r="D769" s="826">
        <v>227118.870009039</v>
      </c>
      <c r="E769" s="826">
        <v>13569</v>
      </c>
      <c r="F769" s="826">
        <v>213549.870009039</v>
      </c>
      <c r="G769" s="826">
        <v>133129.35003091401</v>
      </c>
      <c r="H769" s="826">
        <v>64114.949934855103</v>
      </c>
      <c r="I769" s="826">
        <v>69014.400096058802</v>
      </c>
      <c r="J769" s="826">
        <v>6799.21005856991</v>
      </c>
      <c r="K769" s="343">
        <f t="shared" si="142"/>
        <v>126330.13997234398</v>
      </c>
      <c r="L769" s="826">
        <v>66941.750094227493</v>
      </c>
      <c r="M769" s="826">
        <v>6399.6599965095502</v>
      </c>
      <c r="N769" s="827">
        <v>1401</v>
      </c>
      <c r="O769" s="343">
        <f t="shared" si="144"/>
        <v>162.11197002786511</v>
      </c>
      <c r="P769" s="343">
        <f t="shared" si="145"/>
        <v>109.76264091242111</v>
      </c>
      <c r="Q769" s="343">
        <f t="shared" si="146"/>
        <v>95.024518223350384</v>
      </c>
      <c r="R769" s="344">
        <f t="shared" si="147"/>
        <v>0.58616595805366389</v>
      </c>
      <c r="S769" s="344">
        <f t="shared" si="148"/>
        <v>0.90577585566548258</v>
      </c>
      <c r="T769" s="343">
        <f t="shared" si="149"/>
        <v>216235.58000000002</v>
      </c>
      <c r="U769" s="826">
        <v>153982.85</v>
      </c>
      <c r="V769" s="826">
        <v>4317.5600000000004</v>
      </c>
      <c r="W769" s="815">
        <f t="shared" si="138"/>
        <v>2.8039226446321782E-2</v>
      </c>
      <c r="X769" s="826">
        <v>2272.9499999999998</v>
      </c>
      <c r="Y769" s="815">
        <f t="shared" si="139"/>
        <v>1.4761059429670251E-2</v>
      </c>
      <c r="Z769" s="826">
        <v>2444.1999999999998</v>
      </c>
      <c r="AA769" s="815">
        <f t="shared" si="140"/>
        <v>1.5873196268285719E-2</v>
      </c>
      <c r="AB769" s="826">
        <v>3533.21</v>
      </c>
      <c r="AC769" s="815">
        <f t="shared" si="141"/>
        <v>2.2945477369720069E-2</v>
      </c>
      <c r="AD769" s="826">
        <v>62252.73</v>
      </c>
      <c r="AE769" s="826">
        <v>8369.42</v>
      </c>
      <c r="AF769" s="815">
        <f t="shared" si="133"/>
        <v>0.13444261801851903</v>
      </c>
      <c r="AG769" s="826">
        <v>4902.54</v>
      </c>
      <c r="AH769" s="815">
        <f t="shared" si="134"/>
        <v>7.875220893927061E-2</v>
      </c>
      <c r="AI769" s="826">
        <v>2696.58</v>
      </c>
      <c r="AJ769" s="815">
        <f t="shared" si="135"/>
        <v>4.3316654546716259E-2</v>
      </c>
      <c r="AK769" s="826">
        <v>23442.720000000001</v>
      </c>
      <c r="AL769" s="815">
        <f t="shared" si="136"/>
        <v>0.37657336473436587</v>
      </c>
      <c r="AM769" s="350">
        <f t="shared" si="151"/>
        <v>26.106869527885372</v>
      </c>
      <c r="AN769" s="350">
        <f t="shared" si="152"/>
        <v>19.6853150776288</v>
      </c>
      <c r="AO769" s="350">
        <f t="shared" si="153"/>
        <v>135.18834330663063</v>
      </c>
      <c r="AP769" s="816">
        <f t="shared" si="150"/>
        <v>4.4214607668654149E-2</v>
      </c>
    </row>
    <row r="770" spans="1:42" x14ac:dyDescent="0.2">
      <c r="A770" s="638">
        <v>42853</v>
      </c>
      <c r="B770" s="826" t="s">
        <v>136</v>
      </c>
      <c r="C770" s="826" t="s">
        <v>193</v>
      </c>
      <c r="D770" s="826">
        <v>85545.430004119902</v>
      </c>
      <c r="E770" s="826">
        <v>3547</v>
      </c>
      <c r="F770" s="826">
        <v>81998.430004119902</v>
      </c>
      <c r="G770" s="826">
        <v>47483.490140199698</v>
      </c>
      <c r="H770" s="826">
        <v>21268.7300629616</v>
      </c>
      <c r="I770" s="826">
        <v>26214.760077238101</v>
      </c>
      <c r="J770" s="826">
        <v>2675.8799972534198</v>
      </c>
      <c r="K770" s="343">
        <f t="shared" si="142"/>
        <v>44807.610142946287</v>
      </c>
      <c r="L770" s="826">
        <v>30777.5799069405</v>
      </c>
      <c r="M770" s="826">
        <v>502.30000340938602</v>
      </c>
      <c r="N770" s="827">
        <v>371</v>
      </c>
      <c r="O770" s="343">
        <f t="shared" si="144"/>
        <v>230.58067386555228</v>
      </c>
      <c r="P770" s="343">
        <f t="shared" si="145"/>
        <v>146.2683290937197</v>
      </c>
      <c r="Q770" s="343">
        <f t="shared" si="146"/>
        <v>127.98784404366498</v>
      </c>
      <c r="R770" s="344">
        <f t="shared" si="147"/>
        <v>0.55506752538286241</v>
      </c>
      <c r="S770" s="344">
        <f t="shared" si="148"/>
        <v>0.92040693517452543</v>
      </c>
      <c r="T770" s="343">
        <f t="shared" si="149"/>
        <v>84807.51</v>
      </c>
      <c r="U770" s="826">
        <v>65500.85</v>
      </c>
      <c r="V770" s="826">
        <v>1887.32</v>
      </c>
      <c r="W770" s="815">
        <f t="shared" si="138"/>
        <v>2.8813671883647311E-2</v>
      </c>
      <c r="X770" s="826">
        <v>5055.1099999999997</v>
      </c>
      <c r="Y770" s="815">
        <f t="shared" si="139"/>
        <v>7.7176250384536987E-2</v>
      </c>
      <c r="Z770" s="826">
        <v>3283.04</v>
      </c>
      <c r="AA770" s="815">
        <f t="shared" si="140"/>
        <v>5.0122097652167873E-2</v>
      </c>
      <c r="AB770" s="826">
        <v>1527</v>
      </c>
      <c r="AC770" s="815">
        <f t="shared" si="141"/>
        <v>2.3312674568345296E-2</v>
      </c>
      <c r="AD770" s="826">
        <v>19306.66</v>
      </c>
      <c r="AE770" s="826">
        <v>3379.07</v>
      </c>
      <c r="AF770" s="815">
        <f t="shared" ref="AF770:AF787" si="154">IFERROR(AE770/AD770,"0.00%")</f>
        <v>0.17502095131938927</v>
      </c>
      <c r="AG770" s="826">
        <v>2301.4899999999998</v>
      </c>
      <c r="AH770" s="815">
        <f t="shared" ref="AH770:AH787" si="155">IFERROR(AG770/AD770,"0.00%")</f>
        <v>0.11920705083116395</v>
      </c>
      <c r="AI770" s="826">
        <v>596.87</v>
      </c>
      <c r="AJ770" s="815">
        <f t="shared" ref="AJ770:AJ787" si="156">IFERROR(AI770/AD770,"0.00"%)</f>
        <v>3.091523857570393E-2</v>
      </c>
      <c r="AK770" s="826">
        <v>2602.12</v>
      </c>
      <c r="AL770" s="815">
        <f t="shared" ref="AL770:AL787" si="157">IFERROR(AK770/AD770,"0.00%")</f>
        <v>0.13477836145661651</v>
      </c>
      <c r="AM770" s="350">
        <f t="shared" si="151"/>
        <v>25.991833864828426</v>
      </c>
      <c r="AN770" s="350">
        <f t="shared" si="152"/>
        <v>20.917678771071504</v>
      </c>
      <c r="AO770" s="350">
        <f t="shared" si="153"/>
        <v>146.83111374007098</v>
      </c>
      <c r="AP770" s="816">
        <f t="shared" si="150"/>
        <v>4.9310842562722418E-2</v>
      </c>
    </row>
    <row r="771" spans="1:42" x14ac:dyDescent="0.2">
      <c r="A771" s="638">
        <v>42853</v>
      </c>
      <c r="B771" s="826" t="s">
        <v>136</v>
      </c>
      <c r="C771" s="826" t="s">
        <v>304</v>
      </c>
      <c r="D771" s="826">
        <v>62316.369999885603</v>
      </c>
      <c r="E771" s="826">
        <v>2815</v>
      </c>
      <c r="F771" s="826">
        <v>59501.369999885603</v>
      </c>
      <c r="G771" s="826">
        <v>30112.5800790787</v>
      </c>
      <c r="H771" s="826">
        <v>13945.720054626499</v>
      </c>
      <c r="I771" s="826">
        <v>16166.8600244522</v>
      </c>
      <c r="J771" s="826">
        <v>1363.1599988937401</v>
      </c>
      <c r="K771" s="343">
        <f t="shared" si="142"/>
        <v>28749.420080184958</v>
      </c>
      <c r="L771" s="826">
        <v>20469.159947872198</v>
      </c>
      <c r="M771" s="826">
        <v>45</v>
      </c>
      <c r="N771" s="827">
        <v>249</v>
      </c>
      <c r="O771" s="343">
        <f t="shared" si="144"/>
        <v>250.26654618427952</v>
      </c>
      <c r="P771" s="343">
        <f t="shared" si="145"/>
        <v>167.8803616546723</v>
      </c>
      <c r="Q771" s="343">
        <f t="shared" si="146"/>
        <v>120.93405654248474</v>
      </c>
      <c r="R771" s="344">
        <f t="shared" si="147"/>
        <v>0.48322102329025229</v>
      </c>
      <c r="S771" s="344">
        <f t="shared" si="148"/>
        <v>0.74464113374383456</v>
      </c>
      <c r="T771" s="343">
        <f t="shared" si="149"/>
        <v>66653.180000000008</v>
      </c>
      <c r="U771" s="826">
        <v>57133.130000000005</v>
      </c>
      <c r="V771" s="826">
        <v>6024.04</v>
      </c>
      <c r="W771" s="815">
        <f t="shared" ref="W771:W787" si="158">IFERROR(V771/U771,"0.00%")</f>
        <v>0.10543864829390583</v>
      </c>
      <c r="X771" s="826">
        <v>4760.22</v>
      </c>
      <c r="Y771" s="815">
        <f t="shared" ref="Y771:Y787" si="159">IFERROR(X771/U771,"0.00%")</f>
        <v>8.3318032812135442E-2</v>
      </c>
      <c r="Z771" s="826">
        <v>90</v>
      </c>
      <c r="AA771" s="815">
        <f t="shared" ref="AA771:AA787" si="160">IFERROR(Z771/U771,"0.00"%)</f>
        <v>1.5752681500208372E-3</v>
      </c>
      <c r="AB771" s="826">
        <v>0</v>
      </c>
      <c r="AC771" s="815">
        <f t="shared" ref="AC771:AC787" si="161">IFERROR(AB771/U771,"0.00%")</f>
        <v>0</v>
      </c>
      <c r="AD771" s="826">
        <v>9520.0499999999993</v>
      </c>
      <c r="AE771" s="826">
        <v>2297.1999999999998</v>
      </c>
      <c r="AF771" s="815">
        <f t="shared" si="154"/>
        <v>0.2413012536698862</v>
      </c>
      <c r="AG771" s="826">
        <v>1038.3699999999999</v>
      </c>
      <c r="AH771" s="815">
        <f t="shared" si="155"/>
        <v>0.10907190613494677</v>
      </c>
      <c r="AI771" s="826">
        <v>210</v>
      </c>
      <c r="AJ771" s="815">
        <f t="shared" si="156"/>
        <v>2.2058707674854652E-2</v>
      </c>
      <c r="AK771" s="826">
        <v>0</v>
      </c>
      <c r="AL771" s="815">
        <f t="shared" si="157"/>
        <v>0</v>
      </c>
      <c r="AM771" s="350">
        <f t="shared" si="151"/>
        <v>32.601953622120448</v>
      </c>
      <c r="AN771" s="350">
        <f t="shared" si="152"/>
        <v>29.728482936968192</v>
      </c>
      <c r="AO771" s="350">
        <f t="shared" si="153"/>
        <v>77.637232693004705</v>
      </c>
      <c r="AP771" s="816">
        <f t="shared" si="150"/>
        <v>3.2609759082057994E-2</v>
      </c>
    </row>
    <row r="772" spans="1:42" x14ac:dyDescent="0.2">
      <c r="A772" s="638">
        <v>42853</v>
      </c>
      <c r="B772" s="826" t="s">
        <v>136</v>
      </c>
      <c r="C772" s="826" t="s">
        <v>310</v>
      </c>
      <c r="D772" s="826">
        <v>24045.530001640302</v>
      </c>
      <c r="E772" s="826">
        <v>1244</v>
      </c>
      <c r="F772" s="826">
        <v>22801.530001640302</v>
      </c>
      <c r="G772" s="826">
        <v>14962.9099707603</v>
      </c>
      <c r="H772" s="826">
        <v>7801.3199615478497</v>
      </c>
      <c r="I772" s="826">
        <v>7161.5900092124903</v>
      </c>
      <c r="J772" s="826">
        <v>327.849999189377</v>
      </c>
      <c r="K772" s="343">
        <f t="shared" si="142"/>
        <v>14635.059971570963</v>
      </c>
      <c r="L772" s="826">
        <v>11170.2799777985</v>
      </c>
      <c r="M772" s="826">
        <v>0</v>
      </c>
      <c r="N772" s="827">
        <v>105</v>
      </c>
      <c r="O772" s="343">
        <f t="shared" si="144"/>
        <v>229.00504763466955</v>
      </c>
      <c r="P772" s="343">
        <f t="shared" si="145"/>
        <v>122.62142879849335</v>
      </c>
      <c r="Q772" s="343">
        <f t="shared" si="146"/>
        <v>142.5039044834318</v>
      </c>
      <c r="R772" s="344">
        <f t="shared" si="147"/>
        <v>0.62227407629358233</v>
      </c>
      <c r="S772" s="344">
        <f t="shared" si="148"/>
        <v>1.1925107943766882</v>
      </c>
      <c r="T772" s="343">
        <f t="shared" si="149"/>
        <v>20915.34</v>
      </c>
      <c r="U772" s="826">
        <v>17671.11</v>
      </c>
      <c r="V772" s="826">
        <v>1267.67</v>
      </c>
      <c r="W772" s="815">
        <f t="shared" si="158"/>
        <v>7.1736863162529127E-2</v>
      </c>
      <c r="X772" s="826">
        <v>1337</v>
      </c>
      <c r="Y772" s="815">
        <f t="shared" si="159"/>
        <v>7.5660216024912977E-2</v>
      </c>
      <c r="Z772" s="826">
        <v>0</v>
      </c>
      <c r="AA772" s="815">
        <f t="shared" si="160"/>
        <v>0</v>
      </c>
      <c r="AB772" s="826">
        <v>0</v>
      </c>
      <c r="AC772" s="815">
        <f t="shared" si="161"/>
        <v>0</v>
      </c>
      <c r="AD772" s="826">
        <v>3244.23</v>
      </c>
      <c r="AE772" s="826">
        <v>741.18</v>
      </c>
      <c r="AF772" s="815">
        <f t="shared" si="154"/>
        <v>0.22846099074356627</v>
      </c>
      <c r="AG772" s="826">
        <v>335.98</v>
      </c>
      <c r="AH772" s="815">
        <f t="shared" si="155"/>
        <v>0.1035623244961054</v>
      </c>
      <c r="AI772" s="826">
        <v>0</v>
      </c>
      <c r="AJ772" s="815">
        <f t="shared" si="156"/>
        <v>0</v>
      </c>
      <c r="AK772" s="826">
        <v>0</v>
      </c>
      <c r="AL772" s="815">
        <f t="shared" si="157"/>
        <v>0</v>
      </c>
      <c r="AM772" s="350">
        <f t="shared" si="151"/>
        <v>18.452289449046535</v>
      </c>
      <c r="AN772" s="350">
        <f t="shared" si="152"/>
        <v>16.35870726257302</v>
      </c>
      <c r="AO772" s="350">
        <f t="shared" si="153"/>
        <v>60.918151470895054</v>
      </c>
      <c r="AP772" s="816">
        <f t="shared" si="150"/>
        <v>2.5463583121281476E-2</v>
      </c>
    </row>
    <row r="773" spans="1:42" x14ac:dyDescent="0.2">
      <c r="A773" s="638">
        <v>42853</v>
      </c>
      <c r="B773" s="826" t="s">
        <v>136</v>
      </c>
      <c r="C773" s="826" t="s">
        <v>194</v>
      </c>
      <c r="D773" s="826">
        <v>111146.230002899</v>
      </c>
      <c r="E773" s="826">
        <v>7459</v>
      </c>
      <c r="F773" s="826">
        <v>103687.230002899</v>
      </c>
      <c r="G773" s="826">
        <v>68895.580077886596</v>
      </c>
      <c r="H773" s="826">
        <v>28589.179986953699</v>
      </c>
      <c r="I773" s="826">
        <v>40306.400090932802</v>
      </c>
      <c r="J773" s="826">
        <v>4011.5400204658499</v>
      </c>
      <c r="K773" s="343">
        <f t="shared" si="142"/>
        <v>64884.040057420643</v>
      </c>
      <c r="L773" s="826">
        <v>40765.819987773903</v>
      </c>
      <c r="M773" s="826">
        <v>2030.31999580562</v>
      </c>
      <c r="N773" s="827">
        <v>488</v>
      </c>
      <c r="O773" s="343">
        <f t="shared" si="144"/>
        <v>227.75866803872745</v>
      </c>
      <c r="P773" s="343">
        <f t="shared" si="145"/>
        <v>140.06165987565464</v>
      </c>
      <c r="Q773" s="343">
        <f t="shared" si="146"/>
        <v>141.17946737271822</v>
      </c>
      <c r="R773" s="344">
        <f t="shared" si="147"/>
        <v>0.61986430017544913</v>
      </c>
      <c r="S773" s="344">
        <f t="shared" si="148"/>
        <v>1.0708289210607649</v>
      </c>
      <c r="T773" s="343">
        <f t="shared" si="149"/>
        <v>94302.39</v>
      </c>
      <c r="U773" s="826">
        <v>67657.279999999999</v>
      </c>
      <c r="V773" s="826">
        <v>2009.42</v>
      </c>
      <c r="W773" s="815">
        <f t="shared" si="158"/>
        <v>2.9699982027063459E-2</v>
      </c>
      <c r="X773" s="826">
        <v>1557.97</v>
      </c>
      <c r="Y773" s="815">
        <f t="shared" si="159"/>
        <v>2.3027381532334731E-2</v>
      </c>
      <c r="Z773" s="826">
        <v>650.42999999999995</v>
      </c>
      <c r="AA773" s="815">
        <f t="shared" si="160"/>
        <v>9.6135996008116197E-3</v>
      </c>
      <c r="AB773" s="826">
        <v>3387.95</v>
      </c>
      <c r="AC773" s="815">
        <f t="shared" si="161"/>
        <v>5.0075172989514208E-2</v>
      </c>
      <c r="AD773" s="826">
        <v>26645.11</v>
      </c>
      <c r="AE773" s="826">
        <v>5109.17</v>
      </c>
      <c r="AF773" s="815">
        <f t="shared" si="154"/>
        <v>0.1917488800008707</v>
      </c>
      <c r="AG773" s="826">
        <v>1431.84</v>
      </c>
      <c r="AH773" s="815">
        <f t="shared" si="155"/>
        <v>5.3737440003062471E-2</v>
      </c>
      <c r="AI773" s="826">
        <v>1575.02</v>
      </c>
      <c r="AJ773" s="815">
        <f t="shared" si="156"/>
        <v>5.9111033882014372E-2</v>
      </c>
      <c r="AK773" s="826">
        <v>8530.1200000000008</v>
      </c>
      <c r="AL773" s="815">
        <f t="shared" si="157"/>
        <v>0.32013829179162706</v>
      </c>
      <c r="AM773" s="350">
        <f t="shared" si="151"/>
        <v>22.000843149438108</v>
      </c>
      <c r="AN773" s="350">
        <f t="shared" si="152"/>
        <v>16.739774372274432</v>
      </c>
      <c r="AO773" s="350">
        <f t="shared" ref="AO773" si="162">IFERROR(AD773/(E773+E731+E669)*90,"0.00")</f>
        <v>299.72002249718787</v>
      </c>
      <c r="AP773" s="816">
        <f t="shared" si="150"/>
        <v>5.8691071501617183E-2</v>
      </c>
    </row>
    <row r="774" spans="1:42" x14ac:dyDescent="0.2">
      <c r="A774" s="638">
        <v>42853</v>
      </c>
      <c r="B774" s="826" t="s">
        <v>136</v>
      </c>
      <c r="C774" s="826" t="s">
        <v>195</v>
      </c>
      <c r="D774" s="826">
        <v>92974.100004196196</v>
      </c>
      <c r="E774" s="826">
        <v>2446</v>
      </c>
      <c r="F774" s="826">
        <v>90528.100004196196</v>
      </c>
      <c r="G774" s="826">
        <v>54859.520000934601</v>
      </c>
      <c r="H774" s="826">
        <v>27473.649960994699</v>
      </c>
      <c r="I774" s="826">
        <v>27385.870039939899</v>
      </c>
      <c r="J774" s="826">
        <v>3286.0300053358101</v>
      </c>
      <c r="K774" s="343">
        <f t="shared" si="142"/>
        <v>51573.489995598793</v>
      </c>
      <c r="L774" s="826">
        <v>31090.470037460302</v>
      </c>
      <c r="M774" s="826">
        <v>1200.01999473572</v>
      </c>
      <c r="N774" s="827">
        <v>477</v>
      </c>
      <c r="O774" s="343">
        <f t="shared" si="144"/>
        <v>194.91425577399622</v>
      </c>
      <c r="P774" s="343">
        <f t="shared" si="145"/>
        <v>127.2193081174008</v>
      </c>
      <c r="Q774" s="343">
        <f t="shared" si="146"/>
        <v>115.00947589294465</v>
      </c>
      <c r="R774" s="344">
        <f t="shared" si="147"/>
        <v>0.59005163802025107</v>
      </c>
      <c r="S774" s="344">
        <f t="shared" si="148"/>
        <v>0.95578106311792521</v>
      </c>
      <c r="T774" s="343">
        <f t="shared" si="149"/>
        <v>91279.489999999991</v>
      </c>
      <c r="U774" s="826">
        <v>66197.33</v>
      </c>
      <c r="V774" s="826">
        <v>2626.42</v>
      </c>
      <c r="W774" s="815">
        <f t="shared" si="158"/>
        <v>3.9675618336872498E-2</v>
      </c>
      <c r="X774" s="826">
        <v>2330.5</v>
      </c>
      <c r="Y774" s="815">
        <f t="shared" si="159"/>
        <v>3.5205347406005651E-2</v>
      </c>
      <c r="Z774" s="826">
        <v>1862.29</v>
      </c>
      <c r="AA774" s="815">
        <f t="shared" si="160"/>
        <v>2.8132403527453446E-2</v>
      </c>
      <c r="AB774" s="826">
        <v>7231.45</v>
      </c>
      <c r="AC774" s="815">
        <f t="shared" si="161"/>
        <v>0.10924081076986035</v>
      </c>
      <c r="AD774" s="826">
        <v>25082.159999999996</v>
      </c>
      <c r="AE774" s="826">
        <v>2906.77</v>
      </c>
      <c r="AF774" s="815">
        <f t="shared" si="154"/>
        <v>0.11588993930347308</v>
      </c>
      <c r="AG774" s="826">
        <v>1368.12</v>
      </c>
      <c r="AH774" s="815">
        <f t="shared" si="155"/>
        <v>5.4545541532308228E-2</v>
      </c>
      <c r="AI774" s="826">
        <v>1874.81</v>
      </c>
      <c r="AJ774" s="815">
        <f t="shared" si="156"/>
        <v>7.4746752273328942E-2</v>
      </c>
      <c r="AK774" s="826">
        <v>9162.73</v>
      </c>
      <c r="AL774" s="815">
        <f t="shared" si="157"/>
        <v>0.36530864965377785</v>
      </c>
      <c r="AM774" s="350">
        <f t="shared" si="151"/>
        <v>22.53024680215637</v>
      </c>
      <c r="AN774" s="350">
        <f t="shared" si="152"/>
        <v>16.829174083076747</v>
      </c>
      <c r="AO774" s="350">
        <f>IFERROR(AD774/(E774+E728+E685)*90,"0.00")</f>
        <v>212.68083663086486</v>
      </c>
      <c r="AP774" s="816">
        <f t="shared" si="150"/>
        <v>5.4150206404200513E-2</v>
      </c>
    </row>
    <row r="775" spans="1:42" x14ac:dyDescent="0.2">
      <c r="A775" s="638">
        <v>42853</v>
      </c>
      <c r="B775" s="826" t="s">
        <v>136</v>
      </c>
      <c r="C775" s="826" t="s">
        <v>305</v>
      </c>
      <c r="D775" s="826">
        <v>84376.420007705703</v>
      </c>
      <c r="E775" s="826">
        <v>4808</v>
      </c>
      <c r="F775" s="826">
        <v>79568.420007705703</v>
      </c>
      <c r="G775" s="826">
        <v>44452.040072441101</v>
      </c>
      <c r="H775" s="826">
        <v>17319.259991645798</v>
      </c>
      <c r="I775" s="826">
        <v>27132.780080795299</v>
      </c>
      <c r="J775" s="826">
        <v>1521.2000141143801</v>
      </c>
      <c r="K775" s="343">
        <f t="shared" si="142"/>
        <v>42930.840058326721</v>
      </c>
      <c r="L775" s="826">
        <v>24545.290028095202</v>
      </c>
      <c r="M775" s="826">
        <v>0</v>
      </c>
      <c r="N775" s="827">
        <v>435</v>
      </c>
      <c r="O775" s="343">
        <f t="shared" si="144"/>
        <v>193.96878162690967</v>
      </c>
      <c r="P775" s="343">
        <f t="shared" si="145"/>
        <v>137.5428275393345</v>
      </c>
      <c r="Q775" s="343">
        <f t="shared" si="146"/>
        <v>102.1885978676807</v>
      </c>
      <c r="R775" s="344">
        <f t="shared" si="147"/>
        <v>0.52683012704712417</v>
      </c>
      <c r="S775" s="344">
        <f t="shared" si="148"/>
        <v>0.7623408242600328</v>
      </c>
      <c r="T775" s="343">
        <f t="shared" si="149"/>
        <v>75740.22</v>
      </c>
      <c r="U775" s="826">
        <v>60999.869999999995</v>
      </c>
      <c r="V775" s="826">
        <v>1949</v>
      </c>
      <c r="W775" s="815">
        <f t="shared" si="158"/>
        <v>3.1950887764187044E-2</v>
      </c>
      <c r="X775" s="826">
        <v>1807.49</v>
      </c>
      <c r="Y775" s="815">
        <f t="shared" si="159"/>
        <v>2.9631046754689808E-2</v>
      </c>
      <c r="Z775" s="826">
        <v>4008.5</v>
      </c>
      <c r="AA775" s="815">
        <f t="shared" si="160"/>
        <v>6.571325479873974E-2</v>
      </c>
      <c r="AB775" s="826">
        <v>912.21</v>
      </c>
      <c r="AC775" s="815">
        <f t="shared" si="161"/>
        <v>1.4954294164889206E-2</v>
      </c>
      <c r="AD775" s="826">
        <v>14740.349999999999</v>
      </c>
      <c r="AE775" s="826">
        <v>2050.7199999999998</v>
      </c>
      <c r="AF775" s="815">
        <f t="shared" si="154"/>
        <v>0.13912288378498475</v>
      </c>
      <c r="AG775" s="826">
        <v>1068.0899999999999</v>
      </c>
      <c r="AH775" s="815">
        <f t="shared" si="155"/>
        <v>7.246028757797475E-2</v>
      </c>
      <c r="AI775" s="826">
        <v>988.97</v>
      </c>
      <c r="AJ775" s="815">
        <f t="shared" si="156"/>
        <v>6.7092708110730079E-2</v>
      </c>
      <c r="AK775" s="826">
        <v>1229.9000000000001</v>
      </c>
      <c r="AL775" s="815">
        <f t="shared" si="157"/>
        <v>8.3437638862035174E-2</v>
      </c>
      <c r="AM775" s="350">
        <f t="shared" si="151"/>
        <v>28.548208097140414</v>
      </c>
      <c r="AN775" s="350">
        <f t="shared" si="152"/>
        <v>24.55132052896656</v>
      </c>
      <c r="AO775" s="350">
        <f>IFERROR(AD775/(E775+E729+E686)*90,"0.00")</f>
        <v>87.491360548704066</v>
      </c>
      <c r="AP775" s="816">
        <f t="shared" si="150"/>
        <v>2.5424891935565665E-2</v>
      </c>
    </row>
    <row r="776" spans="1:42" x14ac:dyDescent="0.2">
      <c r="A776" s="638">
        <v>42853</v>
      </c>
      <c r="B776" s="826" t="s">
        <v>136</v>
      </c>
      <c r="C776" s="826" t="s">
        <v>196</v>
      </c>
      <c r="D776" s="826">
        <v>111383.22000576</v>
      </c>
      <c r="E776" s="826">
        <v>6325</v>
      </c>
      <c r="F776" s="826">
        <v>105058.22000576</v>
      </c>
      <c r="G776" s="826">
        <v>69235.760059962005</v>
      </c>
      <c r="H776" s="826">
        <v>33048.770023116798</v>
      </c>
      <c r="I776" s="826">
        <v>36186.9900368452</v>
      </c>
      <c r="J776" s="826">
        <v>3342.6200008392302</v>
      </c>
      <c r="K776" s="343">
        <f t="shared" si="142"/>
        <v>65893.140059122758</v>
      </c>
      <c r="L776" s="826">
        <v>43469.169921150402</v>
      </c>
      <c r="M776" s="826">
        <v>2290.83999598026</v>
      </c>
      <c r="N776" s="827">
        <v>548</v>
      </c>
      <c r="O776" s="343">
        <f t="shared" si="144"/>
        <v>203.25405110540146</v>
      </c>
      <c r="P776" s="343">
        <f t="shared" si="145"/>
        <v>119.7503833734112</v>
      </c>
      <c r="Q776" s="343">
        <f t="shared" si="146"/>
        <v>126.34262784664597</v>
      </c>
      <c r="R776" s="344">
        <f t="shared" si="147"/>
        <v>0.62159955562769309</v>
      </c>
      <c r="S776" s="344">
        <f t="shared" si="148"/>
        <v>1.1116747603445625</v>
      </c>
      <c r="T776" s="343">
        <f t="shared" si="149"/>
        <v>97950.549999999988</v>
      </c>
      <c r="U776" s="826">
        <v>70218.739999999991</v>
      </c>
      <c r="V776" s="826">
        <v>1340.5</v>
      </c>
      <c r="W776" s="815">
        <f t="shared" si="158"/>
        <v>1.9090345397824001E-2</v>
      </c>
      <c r="X776" s="826">
        <v>945</v>
      </c>
      <c r="Y776" s="815">
        <f t="shared" si="159"/>
        <v>1.3457945841808044E-2</v>
      </c>
      <c r="Z776" s="826">
        <v>1563.5</v>
      </c>
      <c r="AA776" s="815">
        <f t="shared" si="160"/>
        <v>2.2266135792240078E-2</v>
      </c>
      <c r="AB776" s="826">
        <v>4751</v>
      </c>
      <c r="AC776" s="815">
        <f t="shared" si="161"/>
        <v>6.766000073484657E-2</v>
      </c>
      <c r="AD776" s="826">
        <v>27731.809999999998</v>
      </c>
      <c r="AE776" s="826">
        <v>3701.87</v>
      </c>
      <c r="AF776" s="815">
        <f t="shared" si="154"/>
        <v>0.13348822164871316</v>
      </c>
      <c r="AG776" s="826">
        <v>1073.26</v>
      </c>
      <c r="AH776" s="815">
        <f t="shared" si="155"/>
        <v>3.8701404632441955E-2</v>
      </c>
      <c r="AI776" s="826">
        <v>851.1</v>
      </c>
      <c r="AJ776" s="815">
        <f t="shared" si="156"/>
        <v>3.0690387681150278E-2</v>
      </c>
      <c r="AK776" s="826">
        <v>9602.3700000000008</v>
      </c>
      <c r="AL776" s="815">
        <f t="shared" si="157"/>
        <v>0.34625832212178004</v>
      </c>
      <c r="AM776" s="350">
        <f t="shared" si="151"/>
        <v>21.633939406848771</v>
      </c>
      <c r="AN776" s="350">
        <f t="shared" si="152"/>
        <v>16.51014240603379</v>
      </c>
      <c r="AO776" s="350">
        <f>IFERROR(AD776/(E776+E730+E687)*90,"0.00")</f>
        <v>101.00210027922788</v>
      </c>
      <c r="AP776" s="816">
        <f t="shared" si="150"/>
        <v>5.0936551203831046E-2</v>
      </c>
    </row>
    <row r="777" spans="1:42" x14ac:dyDescent="0.2">
      <c r="A777" s="638">
        <v>42853</v>
      </c>
      <c r="B777" s="826" t="s">
        <v>136</v>
      </c>
      <c r="C777" s="826" t="s">
        <v>326</v>
      </c>
      <c r="D777" s="826">
        <v>34350.6000013351</v>
      </c>
      <c r="E777" s="826">
        <v>2426</v>
      </c>
      <c r="F777" s="826">
        <v>31924.6000013351</v>
      </c>
      <c r="G777" s="826">
        <v>16656.430025577502</v>
      </c>
      <c r="H777" s="826">
        <v>7500.9600129127502</v>
      </c>
      <c r="I777" s="826">
        <v>9155.4700126647895</v>
      </c>
      <c r="J777" s="826">
        <v>165.39999771118201</v>
      </c>
      <c r="K777" s="343">
        <f t="shared" ref="K777:K787" si="163">SUM(H777:I777)-J777</f>
        <v>16491.030027866356</v>
      </c>
      <c r="L777" s="826">
        <v>10257.499989509601</v>
      </c>
      <c r="M777" s="826">
        <v>10</v>
      </c>
      <c r="N777" s="827">
        <v>152</v>
      </c>
      <c r="O777" s="343">
        <f t="shared" si="144"/>
        <v>225.99078948246776</v>
      </c>
      <c r="P777" s="343">
        <f t="shared" si="145"/>
        <v>158.44144744622039</v>
      </c>
      <c r="Q777" s="343">
        <f t="shared" si="146"/>
        <v>109.58177648406274</v>
      </c>
      <c r="R777" s="344">
        <f t="shared" si="147"/>
        <v>0.48489487883559979</v>
      </c>
      <c r="S777" s="344">
        <f t="shared" si="148"/>
        <v>0.69640600959742127</v>
      </c>
      <c r="T777" s="343">
        <f t="shared" si="149"/>
        <v>22271.58</v>
      </c>
      <c r="U777" s="826">
        <v>20841.900000000001</v>
      </c>
      <c r="V777" s="826">
        <v>0</v>
      </c>
      <c r="W777" s="815">
        <f t="shared" si="158"/>
        <v>0</v>
      </c>
      <c r="X777" s="826">
        <v>0</v>
      </c>
      <c r="Y777" s="815">
        <f t="shared" si="159"/>
        <v>0</v>
      </c>
      <c r="Z777" s="826">
        <v>0</v>
      </c>
      <c r="AA777" s="815">
        <f t="shared" si="160"/>
        <v>0</v>
      </c>
      <c r="AB777" s="826">
        <v>0</v>
      </c>
      <c r="AC777" s="815">
        <f t="shared" si="161"/>
        <v>0</v>
      </c>
      <c r="AD777" s="826">
        <v>1429.68</v>
      </c>
      <c r="AE777" s="826">
        <v>0</v>
      </c>
      <c r="AF777" s="815">
        <f t="shared" si="154"/>
        <v>0</v>
      </c>
      <c r="AG777" s="826">
        <v>0</v>
      </c>
      <c r="AH777" s="815">
        <f t="shared" si="155"/>
        <v>0</v>
      </c>
      <c r="AI777" s="826">
        <v>0</v>
      </c>
      <c r="AJ777" s="815">
        <f t="shared" si="156"/>
        <v>0</v>
      </c>
      <c r="AK777" s="826">
        <v>0</v>
      </c>
      <c r="AL777" s="815">
        <f t="shared" si="157"/>
        <v>0</v>
      </c>
      <c r="AM777" s="350">
        <f>IFERROR(T777/(D777+D731)*60,"0.00")</f>
        <v>23.427135154293605</v>
      </c>
      <c r="AN777" s="350">
        <f>IFERROR(U777/(F777+F731)*60,"0.00")</f>
        <v>23.126629872003519</v>
      </c>
      <c r="AO777" s="350">
        <f>IFERROR(AD777/(E777+E731)*60,"0.00")</f>
        <v>28.901886792452832</v>
      </c>
      <c r="AP777" s="816">
        <f t="shared" si="150"/>
        <v>6.8678865108713506E-3</v>
      </c>
    </row>
    <row r="778" spans="1:42" x14ac:dyDescent="0.2">
      <c r="A778" s="638">
        <v>42853</v>
      </c>
      <c r="B778" s="826" t="s">
        <v>136</v>
      </c>
      <c r="C778" s="826" t="s">
        <v>290</v>
      </c>
      <c r="D778" s="826">
        <v>89612.110001563997</v>
      </c>
      <c r="E778" s="826">
        <v>6932</v>
      </c>
      <c r="F778" s="826">
        <v>82680.110001563997</v>
      </c>
      <c r="G778" s="826">
        <v>51594.590047120997</v>
      </c>
      <c r="H778" s="826">
        <v>22735.180008649801</v>
      </c>
      <c r="I778" s="826">
        <v>28859.4100384712</v>
      </c>
      <c r="J778" s="826">
        <v>2519.1999950408899</v>
      </c>
      <c r="K778" s="343">
        <f t="shared" si="163"/>
        <v>49075.390052080111</v>
      </c>
      <c r="L778" s="826">
        <v>30174.920020580299</v>
      </c>
      <c r="M778" s="826">
        <v>-79.720001220702997</v>
      </c>
      <c r="N778" s="827">
        <v>444</v>
      </c>
      <c r="O778" s="343">
        <f t="shared" si="144"/>
        <v>201.8290765800991</v>
      </c>
      <c r="P778" s="343">
        <f t="shared" si="145"/>
        <v>134.04709455451442</v>
      </c>
      <c r="Q778" s="343">
        <f t="shared" si="146"/>
        <v>116.20403163765992</v>
      </c>
      <c r="R778" s="344">
        <f t="shared" si="147"/>
        <v>0.57575466135347697</v>
      </c>
      <c r="S778" s="344">
        <f t="shared" si="148"/>
        <v>0.90520461363694527</v>
      </c>
      <c r="T778" s="343">
        <f t="shared" si="149"/>
        <v>81323.549999999988</v>
      </c>
      <c r="U778" s="826">
        <v>60470.49</v>
      </c>
      <c r="V778" s="826">
        <v>3226.5</v>
      </c>
      <c r="W778" s="815">
        <f t="shared" si="158"/>
        <v>5.3356604188257779E-2</v>
      </c>
      <c r="X778" s="826">
        <v>3896</v>
      </c>
      <c r="Y778" s="815">
        <f t="shared" si="159"/>
        <v>6.4428120228561078E-2</v>
      </c>
      <c r="Z778" s="826">
        <v>2007.5</v>
      </c>
      <c r="AA778" s="815">
        <f t="shared" si="160"/>
        <v>3.3198011129064772E-2</v>
      </c>
      <c r="AB778" s="826">
        <v>1128.3699999999999</v>
      </c>
      <c r="AC778" s="815">
        <f t="shared" si="161"/>
        <v>1.8659845488270394E-2</v>
      </c>
      <c r="AD778" s="826">
        <v>20853.059999999998</v>
      </c>
      <c r="AE778" s="826">
        <v>2197.2399999999998</v>
      </c>
      <c r="AF778" s="815">
        <f t="shared" si="154"/>
        <v>0.1053677493854619</v>
      </c>
      <c r="AG778" s="826">
        <v>1528.9</v>
      </c>
      <c r="AH778" s="815">
        <f t="shared" si="155"/>
        <v>7.3317776863443554E-2</v>
      </c>
      <c r="AI778" s="826">
        <v>1481.72</v>
      </c>
      <c r="AJ778" s="815">
        <f t="shared" si="156"/>
        <v>7.1055279177252656E-2</v>
      </c>
      <c r="AK778" s="826">
        <v>6188.06</v>
      </c>
      <c r="AL778" s="815">
        <f t="shared" si="157"/>
        <v>0.29674589724481687</v>
      </c>
      <c r="AM778" s="350">
        <f>IFERROR(T778/(D778+D732+D688)*90,"0.00")</f>
        <v>23.743933497385751</v>
      </c>
      <c r="AN778" s="350">
        <f>IFERROR(U778/(F778+F732+F688)*90,"0.00")</f>
        <v>18.613228735894186</v>
      </c>
      <c r="AO778" s="350">
        <f>IFERROR(AD778/(E778+E732+E688)*90,"0.00")</f>
        <v>118.32642330243993</v>
      </c>
      <c r="AP778" s="816">
        <f t="shared" si="150"/>
        <v>4.2327466190602514E-2</v>
      </c>
    </row>
    <row r="779" spans="1:42" x14ac:dyDescent="0.2">
      <c r="A779" s="638">
        <v>42853</v>
      </c>
      <c r="B779" s="826" t="s">
        <v>137</v>
      </c>
      <c r="C779" s="826" t="s">
        <v>324</v>
      </c>
      <c r="D779" s="826">
        <v>56699.220002898903</v>
      </c>
      <c r="E779" s="826">
        <v>1857</v>
      </c>
      <c r="F779" s="826">
        <v>54842.220002898903</v>
      </c>
      <c r="G779" s="826">
        <v>28350.470061592801</v>
      </c>
      <c r="H779" s="826">
        <v>11781.8600070998</v>
      </c>
      <c r="I779" s="826">
        <v>16568.610054493001</v>
      </c>
      <c r="J779" s="826">
        <v>849.49999988079105</v>
      </c>
      <c r="K779" s="343">
        <f t="shared" si="163"/>
        <v>27500.970061712011</v>
      </c>
      <c r="L779" s="826">
        <v>17574.549942202899</v>
      </c>
      <c r="M779" s="826">
        <v>40</v>
      </c>
      <c r="N779" s="827">
        <v>254</v>
      </c>
      <c r="O779" s="343">
        <f t="shared" si="144"/>
        <v>223.22527560196417</v>
      </c>
      <c r="P779" s="343">
        <f t="shared" si="145"/>
        <v>153.87665378226774</v>
      </c>
      <c r="Q779" s="343">
        <f t="shared" si="146"/>
        <v>111.61602386453859</v>
      </c>
      <c r="R779" s="344">
        <f t="shared" si="147"/>
        <v>0.50001516881790098</v>
      </c>
      <c r="S779" s="344">
        <f t="shared" si="148"/>
        <v>0.74147623814670538</v>
      </c>
      <c r="T779" s="343">
        <f t="shared" si="149"/>
        <v>44408.969999999994</v>
      </c>
      <c r="U779" s="826">
        <v>41402.949999999997</v>
      </c>
      <c r="V779" s="826">
        <v>0</v>
      </c>
      <c r="W779" s="815">
        <f t="shared" si="158"/>
        <v>0</v>
      </c>
      <c r="X779" s="826">
        <v>0</v>
      </c>
      <c r="Y779" s="815">
        <f t="shared" si="159"/>
        <v>0</v>
      </c>
      <c r="Z779" s="826">
        <v>0</v>
      </c>
      <c r="AA779" s="815">
        <f t="shared" si="160"/>
        <v>0</v>
      </c>
      <c r="AB779" s="826">
        <v>0</v>
      </c>
      <c r="AC779" s="815">
        <f t="shared" si="161"/>
        <v>0</v>
      </c>
      <c r="AD779" s="826">
        <v>3006.02</v>
      </c>
      <c r="AE779" s="826">
        <v>0</v>
      </c>
      <c r="AF779" s="815">
        <f t="shared" si="154"/>
        <v>0</v>
      </c>
      <c r="AG779" s="826">
        <v>0</v>
      </c>
      <c r="AH779" s="815">
        <f t="shared" si="155"/>
        <v>0</v>
      </c>
      <c r="AI779" s="826">
        <v>0</v>
      </c>
      <c r="AJ779" s="815">
        <f t="shared" si="156"/>
        <v>0</v>
      </c>
      <c r="AK779" s="826">
        <v>0</v>
      </c>
      <c r="AL779" s="815">
        <f t="shared" si="157"/>
        <v>0</v>
      </c>
      <c r="AM779" s="350">
        <f>IFERROR(T779/(D779+D733+D689)*90,"0.00")</f>
        <v>24.862789600848377</v>
      </c>
      <c r="AN779" s="350">
        <f>IFERROR(U779/(F779+F733+F689)*90,"0.00")</f>
        <v>24.073880614693774</v>
      </c>
      <c r="AO779" s="350">
        <f>IFERROR(AD779/(E779+E733+E689)*90,"0.00")</f>
        <v>45.316884422110547</v>
      </c>
      <c r="AP779" s="816">
        <f t="shared" si="150"/>
        <v>2.1734864297474472E-2</v>
      </c>
    </row>
    <row r="780" spans="1:42" x14ac:dyDescent="0.2">
      <c r="A780" s="638">
        <v>42853</v>
      </c>
      <c r="B780" s="826" t="s">
        <v>137</v>
      </c>
      <c r="C780" s="826" t="s">
        <v>209</v>
      </c>
      <c r="D780" s="826">
        <v>94604.290003547401</v>
      </c>
      <c r="E780" s="826">
        <v>6283</v>
      </c>
      <c r="F780" s="826">
        <v>88321.290003547401</v>
      </c>
      <c r="G780" s="826">
        <v>55184.210088312597</v>
      </c>
      <c r="H780" s="826">
        <v>26183.690033912699</v>
      </c>
      <c r="I780" s="826">
        <v>29000.5200544</v>
      </c>
      <c r="J780" s="826">
        <v>2633.7100162506099</v>
      </c>
      <c r="K780" s="343">
        <f t="shared" si="163"/>
        <v>52550.500072062088</v>
      </c>
      <c r="L780" s="826">
        <v>31187.4299211502</v>
      </c>
      <c r="M780" s="826">
        <v>2426.6799972057302</v>
      </c>
      <c r="N780" s="827">
        <v>403</v>
      </c>
      <c r="O780" s="343">
        <f t="shared" si="144"/>
        <v>234.75009926438563</v>
      </c>
      <c r="P780" s="343">
        <f t="shared" si="145"/>
        <v>151.34039723372575</v>
      </c>
      <c r="Q780" s="343">
        <f t="shared" si="146"/>
        <v>136.9335237923392</v>
      </c>
      <c r="R780" s="344">
        <f t="shared" si="147"/>
        <v>0.58331614862543169</v>
      </c>
      <c r="S780" s="344">
        <f t="shared" si="148"/>
        <v>0.94563996114088911</v>
      </c>
      <c r="T780" s="343">
        <f t="shared" si="149"/>
        <v>75021.3</v>
      </c>
      <c r="U780" s="826">
        <v>57873.120000000003</v>
      </c>
      <c r="V780" s="826">
        <v>992.1</v>
      </c>
      <c r="W780" s="815">
        <f t="shared" si="158"/>
        <v>1.7142673489868872E-2</v>
      </c>
      <c r="X780" s="826">
        <v>1430</v>
      </c>
      <c r="Y780" s="815">
        <f t="shared" si="159"/>
        <v>2.4709225975720679E-2</v>
      </c>
      <c r="Z780" s="826">
        <v>275.75</v>
      </c>
      <c r="AA780" s="815">
        <f t="shared" si="160"/>
        <v>4.764733610353131E-3</v>
      </c>
      <c r="AB780" s="826">
        <v>2297.9</v>
      </c>
      <c r="AC780" s="815">
        <f t="shared" si="161"/>
        <v>3.9705825433292694E-2</v>
      </c>
      <c r="AD780" s="826">
        <v>17148.18</v>
      </c>
      <c r="AE780" s="826">
        <v>3316.1</v>
      </c>
      <c r="AF780" s="815">
        <f t="shared" si="154"/>
        <v>0.19337912244914621</v>
      </c>
      <c r="AG780" s="826">
        <v>940.84</v>
      </c>
      <c r="AH780" s="815">
        <f t="shared" si="155"/>
        <v>5.4865297658410396E-2</v>
      </c>
      <c r="AI780" s="826">
        <v>283.35000000000002</v>
      </c>
      <c r="AJ780" s="815">
        <f t="shared" si="156"/>
        <v>1.6523619416171281E-2</v>
      </c>
      <c r="AK780" s="826">
        <v>7625.28</v>
      </c>
      <c r="AL780" s="815">
        <f t="shared" si="157"/>
        <v>0.4446699299867391</v>
      </c>
      <c r="AM780" s="350">
        <f>IFERROR(T780/(D780+D734+D690)*90,"0.00")</f>
        <v>24.138588230556348</v>
      </c>
      <c r="AN780" s="350">
        <f>IFERROR(U780/(F780+F734+F690)*90,"0.00")</f>
        <v>19.725986307982257</v>
      </c>
      <c r="AO780" s="350">
        <f>IFERROR(AD780/(E780+E734+E690)*90,"0.00")</f>
        <v>98.502438090375279</v>
      </c>
      <c r="AP780" s="816">
        <f t="shared" si="150"/>
        <v>4.3182525655307571E-2</v>
      </c>
    </row>
    <row r="781" spans="1:42" x14ac:dyDescent="0.2">
      <c r="A781" s="638">
        <v>42853</v>
      </c>
      <c r="B781" s="826" t="s">
        <v>137</v>
      </c>
      <c r="C781" s="826" t="s">
        <v>197</v>
      </c>
      <c r="D781" s="826">
        <v>219778.23001075699</v>
      </c>
      <c r="E781" s="826">
        <v>10741</v>
      </c>
      <c r="F781" s="826">
        <v>209037.23001075699</v>
      </c>
      <c r="G781" s="826">
        <v>125839.410068154</v>
      </c>
      <c r="H781" s="826">
        <v>60994.349995374701</v>
      </c>
      <c r="I781" s="826">
        <v>64845.060072779699</v>
      </c>
      <c r="J781" s="826">
        <v>4686.64000415802</v>
      </c>
      <c r="K781" s="343">
        <f t="shared" si="163"/>
        <v>121152.77006399637</v>
      </c>
      <c r="L781" s="826">
        <v>69692.030050277695</v>
      </c>
      <c r="M781" s="826">
        <v>4543.4400201123199</v>
      </c>
      <c r="N781" s="827">
        <v>1032</v>
      </c>
      <c r="O781" s="343">
        <f t="shared" si="144"/>
        <v>212.96340117321415</v>
      </c>
      <c r="P781" s="343">
        <f t="shared" si="145"/>
        <v>141.02980614376642</v>
      </c>
      <c r="Q781" s="343">
        <f t="shared" si="146"/>
        <v>121.93741285673876</v>
      </c>
      <c r="R781" s="344">
        <f t="shared" si="147"/>
        <v>0.57257449958531026</v>
      </c>
      <c r="S781" s="344">
        <f t="shared" si="148"/>
        <v>0.89338972367792524</v>
      </c>
      <c r="T781" s="343">
        <f t="shared" si="149"/>
        <v>198050.58000000002</v>
      </c>
      <c r="U781" s="826">
        <v>164259.33000000002</v>
      </c>
      <c r="V781" s="826">
        <v>7667.98</v>
      </c>
      <c r="W781" s="815">
        <f t="shared" si="158"/>
        <v>4.668215802414389E-2</v>
      </c>
      <c r="X781" s="826">
        <v>4578.07</v>
      </c>
      <c r="Y781" s="815">
        <f t="shared" si="159"/>
        <v>2.7870989124331624E-2</v>
      </c>
      <c r="Z781" s="826">
        <v>7568.06</v>
      </c>
      <c r="AA781" s="815">
        <f t="shared" si="160"/>
        <v>4.6073851634485539E-2</v>
      </c>
      <c r="AB781" s="826">
        <v>11171.78</v>
      </c>
      <c r="AC781" s="815">
        <f t="shared" si="161"/>
        <v>6.8013062028196514E-2</v>
      </c>
      <c r="AD781" s="826">
        <v>33791.25</v>
      </c>
      <c r="AE781" s="826">
        <v>3358.49</v>
      </c>
      <c r="AF781" s="815">
        <f t="shared" si="154"/>
        <v>9.93893389560907E-2</v>
      </c>
      <c r="AG781" s="826">
        <v>2174.94</v>
      </c>
      <c r="AH781" s="815">
        <f t="shared" si="155"/>
        <v>6.4363999556098103E-2</v>
      </c>
      <c r="AI781" s="826">
        <v>2203.87</v>
      </c>
      <c r="AJ781" s="815">
        <f t="shared" si="156"/>
        <v>6.5220138349424778E-2</v>
      </c>
      <c r="AK781" s="826">
        <v>14613.56</v>
      </c>
      <c r="AL781" s="815">
        <f t="shared" si="157"/>
        <v>0.43246580105796617</v>
      </c>
      <c r="AM781" s="350">
        <f>IFERROR(T781/(D781+D735+D691)*90,"0.00")</f>
        <v>27.028610255283649</v>
      </c>
      <c r="AN781" s="350">
        <f>IFERROR(U781/(F781+F735+F691)*90,"0.00")</f>
        <v>23.526870965783278</v>
      </c>
      <c r="AO781" s="350">
        <f>IFERROR(AD781/(E781+E735+E691)*90,"0.00")</f>
        <v>97.756718818155946</v>
      </c>
      <c r="AP781" s="816">
        <f t="shared" si="150"/>
        <v>3.220112086701029E-2</v>
      </c>
    </row>
    <row r="782" spans="1:42" x14ac:dyDescent="0.2">
      <c r="A782" s="638">
        <v>42853</v>
      </c>
      <c r="B782" s="826" t="s">
        <v>137</v>
      </c>
      <c r="C782" s="826" t="s">
        <v>199</v>
      </c>
      <c r="D782" s="826">
        <v>210063.860001942</v>
      </c>
      <c r="E782" s="826">
        <v>11037</v>
      </c>
      <c r="F782" s="826">
        <v>199026.860001942</v>
      </c>
      <c r="G782" s="826">
        <v>125965.560191927</v>
      </c>
      <c r="H782" s="826">
        <v>61916.5900907498</v>
      </c>
      <c r="I782" s="826">
        <v>64048.9701011777</v>
      </c>
      <c r="J782" s="826">
        <v>7661.9600155353501</v>
      </c>
      <c r="K782" s="343">
        <f t="shared" si="163"/>
        <v>118303.60017639215</v>
      </c>
      <c r="L782" s="826">
        <v>64323.529965402602</v>
      </c>
      <c r="M782" s="826">
        <v>2960.48000311852</v>
      </c>
      <c r="N782" s="827">
        <v>1002</v>
      </c>
      <c r="O782" s="343">
        <f t="shared" si="144"/>
        <v>209.64457086022156</v>
      </c>
      <c r="P782" s="343">
        <f t="shared" si="145"/>
        <v>142.49486031279531</v>
      </c>
      <c r="Q782" s="343">
        <f t="shared" si="146"/>
        <v>125.71413192807137</v>
      </c>
      <c r="R782" s="344">
        <f t="shared" si="147"/>
        <v>0.59965364908920071</v>
      </c>
      <c r="S782" s="344">
        <f t="shared" si="148"/>
        <v>0.93226411524967912</v>
      </c>
      <c r="T782" s="343">
        <f t="shared" si="149"/>
        <v>189932.33</v>
      </c>
      <c r="U782" s="826">
        <v>147504.59999999998</v>
      </c>
      <c r="V782" s="826">
        <v>4486.25</v>
      </c>
      <c r="W782" s="815">
        <f t="shared" si="158"/>
        <v>3.0414305723346937E-2</v>
      </c>
      <c r="X782" s="826">
        <v>3235.61</v>
      </c>
      <c r="Y782" s="815">
        <f t="shared" si="159"/>
        <v>2.1935654888050955E-2</v>
      </c>
      <c r="Z782" s="826">
        <v>5355.21</v>
      </c>
      <c r="AA782" s="815">
        <f t="shared" si="160"/>
        <v>3.6305376239113903E-2</v>
      </c>
      <c r="AB782" s="826">
        <v>9227.74</v>
      </c>
      <c r="AC782" s="815">
        <f t="shared" si="161"/>
        <v>6.2558998160057389E-2</v>
      </c>
      <c r="AD782" s="826">
        <v>42427.73</v>
      </c>
      <c r="AE782" s="826">
        <v>5332.89</v>
      </c>
      <c r="AF782" s="815">
        <f t="shared" si="154"/>
        <v>0.12569350281054395</v>
      </c>
      <c r="AG782" s="826">
        <v>2466.09</v>
      </c>
      <c r="AH782" s="815">
        <f t="shared" si="155"/>
        <v>5.8124486037787075E-2</v>
      </c>
      <c r="AI782" s="826">
        <v>3004.9</v>
      </c>
      <c r="AJ782" s="815">
        <f t="shared" si="156"/>
        <v>7.0823963478602314E-2</v>
      </c>
      <c r="AK782" s="826">
        <v>14484.69</v>
      </c>
      <c r="AL782" s="815">
        <f t="shared" si="157"/>
        <v>0.34139677046120542</v>
      </c>
      <c r="AM782" s="350">
        <f>IFERROR(T782/(D782+D736+D692)*90,"0.00")</f>
        <v>25.115558331049584</v>
      </c>
      <c r="AN782" s="350">
        <f>IFERROR(U782/(F782+F736+F692)*90,"0.00")</f>
        <v>20.461729220186726</v>
      </c>
      <c r="AO782" s="350">
        <f>IFERROR(AD782/(E782+E736+E692)*90,"0.00")</f>
        <v>120.0105506317179</v>
      </c>
      <c r="AP782" s="816">
        <f t="shared" si="150"/>
        <v>5.3662754329423183E-2</v>
      </c>
    </row>
    <row r="783" spans="1:42" x14ac:dyDescent="0.2">
      <c r="A783" s="638">
        <v>42853</v>
      </c>
      <c r="B783" s="826" t="s">
        <v>137</v>
      </c>
      <c r="C783" s="826" t="s">
        <v>201</v>
      </c>
      <c r="D783" s="826">
        <v>245887.28001437901</v>
      </c>
      <c r="E783" s="826">
        <v>6999</v>
      </c>
      <c r="F783" s="826">
        <v>238888.28001437901</v>
      </c>
      <c r="G783" s="826">
        <v>150658.050093511</v>
      </c>
      <c r="H783" s="826">
        <v>87602.110028356299</v>
      </c>
      <c r="I783" s="826">
        <v>63055.940065154799</v>
      </c>
      <c r="J783" s="826">
        <v>7059.38000774384</v>
      </c>
      <c r="K783" s="343">
        <f t="shared" si="163"/>
        <v>143598.67008576725</v>
      </c>
      <c r="L783" s="826">
        <v>93602.929916897803</v>
      </c>
      <c r="M783" s="826">
        <v>5773.4400007724798</v>
      </c>
      <c r="N783" s="827">
        <v>1140</v>
      </c>
      <c r="O783" s="343">
        <f t="shared" si="144"/>
        <v>215.69059650384125</v>
      </c>
      <c r="P783" s="343">
        <f t="shared" si="145"/>
        <v>128.51834219009538</v>
      </c>
      <c r="Q783" s="343">
        <f t="shared" si="146"/>
        <v>132.15618429255358</v>
      </c>
      <c r="R783" s="344">
        <f t="shared" si="147"/>
        <v>0.61271184944866164</v>
      </c>
      <c r="S783" s="344">
        <f t="shared" si="148"/>
        <v>1.0803613986694649</v>
      </c>
      <c r="T783" s="343">
        <f t="shared" si="149"/>
        <v>248164.87</v>
      </c>
      <c r="U783" s="826">
        <v>195654.29</v>
      </c>
      <c r="V783" s="826">
        <v>7734.81</v>
      </c>
      <c r="W783" s="815">
        <f t="shared" si="158"/>
        <v>3.9533045761480617E-2</v>
      </c>
      <c r="X783" s="826">
        <v>4042.58</v>
      </c>
      <c r="Y783" s="815">
        <f t="shared" si="159"/>
        <v>2.0661852086146435E-2</v>
      </c>
      <c r="Z783" s="826">
        <v>3741.22</v>
      </c>
      <c r="AA783" s="815">
        <f t="shared" si="160"/>
        <v>1.9121584300553798E-2</v>
      </c>
      <c r="AB783" s="826">
        <v>9757.82</v>
      </c>
      <c r="AC783" s="815">
        <f t="shared" si="161"/>
        <v>4.9872762820585226E-2</v>
      </c>
      <c r="AD783" s="826">
        <v>52510.58</v>
      </c>
      <c r="AE783" s="826">
        <v>5171.21</v>
      </c>
      <c r="AF783" s="815">
        <f t="shared" si="154"/>
        <v>9.8479392152971842E-2</v>
      </c>
      <c r="AG783" s="826">
        <v>4098.43</v>
      </c>
      <c r="AH783" s="815">
        <f t="shared" si="155"/>
        <v>7.8049604479706755E-2</v>
      </c>
      <c r="AI783" s="826">
        <v>3334.65</v>
      </c>
      <c r="AJ783" s="815">
        <f t="shared" si="156"/>
        <v>6.3504345219572891E-2</v>
      </c>
      <c r="AK783" s="826">
        <v>19666.66</v>
      </c>
      <c r="AL783" s="815">
        <f t="shared" si="157"/>
        <v>0.37452757139608817</v>
      </c>
      <c r="AM783" s="350">
        <f>IFERROR(T783/(D783+D737+D694)*90,"0.00")</f>
        <v>28.63091400333477</v>
      </c>
      <c r="AN783" s="350">
        <f>IFERROR(U783/(F783+F737+F694)*90,"0.00")</f>
        <v>23.3401794230188</v>
      </c>
      <c r="AO783" s="350">
        <f>IFERROR(AD783/(E783+E737+E694)*90,"0.00")</f>
        <v>184.24764912280702</v>
      </c>
      <c r="AP783" s="816">
        <f t="shared" si="150"/>
        <v>4.8183305960519208E-2</v>
      </c>
    </row>
    <row r="784" spans="1:42" x14ac:dyDescent="0.2">
      <c r="A784" s="638">
        <v>42853</v>
      </c>
      <c r="B784" s="826" t="s">
        <v>137</v>
      </c>
      <c r="C784" s="826" t="s">
        <v>203</v>
      </c>
      <c r="D784" s="826">
        <v>158365.68000392799</v>
      </c>
      <c r="E784" s="826">
        <v>6590</v>
      </c>
      <c r="F784" s="826">
        <v>151775.68000392799</v>
      </c>
      <c r="G784" s="826">
        <v>107361.17007146</v>
      </c>
      <c r="H784" s="826">
        <v>53542.360018014901</v>
      </c>
      <c r="I784" s="826">
        <v>53818.810053445399</v>
      </c>
      <c r="J784" s="826">
        <v>5157.0399951934796</v>
      </c>
      <c r="K784" s="343">
        <f t="shared" si="163"/>
        <v>102204.13007626683</v>
      </c>
      <c r="L784" s="826">
        <v>58627.800060749098</v>
      </c>
      <c r="M784" s="826">
        <v>3997.7899922132501</v>
      </c>
      <c r="N784" s="827">
        <v>859</v>
      </c>
      <c r="O784" s="343">
        <f t="shared" si="144"/>
        <v>184.36051222808845</v>
      </c>
      <c r="P784" s="343">
        <f t="shared" si="145"/>
        <v>111.45528515828364</v>
      </c>
      <c r="Q784" s="343">
        <f t="shared" si="146"/>
        <v>124.98389996677568</v>
      </c>
      <c r="R784" s="344">
        <f t="shared" si="147"/>
        <v>0.67793204985320932</v>
      </c>
      <c r="S784" s="344">
        <f t="shared" si="148"/>
        <v>1.1852236166024459</v>
      </c>
      <c r="T784" s="343">
        <f t="shared" si="149"/>
        <v>135289.21000000002</v>
      </c>
      <c r="U784" s="826">
        <v>104871.27</v>
      </c>
      <c r="V784" s="826">
        <v>2386.46</v>
      </c>
      <c r="W784" s="815">
        <f t="shared" si="158"/>
        <v>2.2756089441846178E-2</v>
      </c>
      <c r="X784" s="826">
        <v>2222.92</v>
      </c>
      <c r="Y784" s="815">
        <f t="shared" si="159"/>
        <v>2.1196653764181554E-2</v>
      </c>
      <c r="Z784" s="826">
        <v>2859.08</v>
      </c>
      <c r="AA784" s="815">
        <f t="shared" si="160"/>
        <v>2.7262757473996452E-2</v>
      </c>
      <c r="AB784" s="826">
        <v>5204.67</v>
      </c>
      <c r="AC784" s="815">
        <f t="shared" si="161"/>
        <v>4.962913102892718E-2</v>
      </c>
      <c r="AD784" s="826">
        <v>30417.940000000002</v>
      </c>
      <c r="AE784" s="826">
        <v>3113.04</v>
      </c>
      <c r="AF784" s="815">
        <f t="shared" si="154"/>
        <v>0.10234223619350948</v>
      </c>
      <c r="AG784" s="826">
        <v>2345.37</v>
      </c>
      <c r="AH784" s="815">
        <f t="shared" si="155"/>
        <v>7.7104826954093528E-2</v>
      </c>
      <c r="AI784" s="826">
        <v>1817.89</v>
      </c>
      <c r="AJ784" s="815">
        <f t="shared" si="156"/>
        <v>5.9763744684880042E-2</v>
      </c>
      <c r="AK784" s="826">
        <v>10223.6</v>
      </c>
      <c r="AL784" s="815">
        <f t="shared" si="157"/>
        <v>0.33610428582606183</v>
      </c>
      <c r="AM784" s="350">
        <f>IFERROR(T784/(D784+D738+D695)*90,"0.00")</f>
        <v>22.178013250998699</v>
      </c>
      <c r="AN784" s="350">
        <f>IFERROR(U784/(F784+F738+F695)*90,"0.00")</f>
        <v>18.067183542184974</v>
      </c>
      <c r="AO784" s="350">
        <f>IFERROR(AD784/(E784+E738+E695)*90,"0.00")</f>
        <v>102.89076558800316</v>
      </c>
      <c r="AP784" s="816">
        <f t="shared" si="150"/>
        <v>5.3865000522087612E-2</v>
      </c>
    </row>
    <row r="785" spans="1:42" x14ac:dyDescent="0.2">
      <c r="A785" s="638">
        <v>42853</v>
      </c>
      <c r="B785" s="826" t="s">
        <v>137</v>
      </c>
      <c r="C785" s="826" t="s">
        <v>204</v>
      </c>
      <c r="D785" s="826">
        <v>99827.770005950704</v>
      </c>
      <c r="E785" s="826">
        <v>6293.9900016784704</v>
      </c>
      <c r="F785" s="826">
        <v>93533.780004272194</v>
      </c>
      <c r="G785" s="826">
        <v>60980.100069999702</v>
      </c>
      <c r="H785" s="826">
        <v>29949.489980697599</v>
      </c>
      <c r="I785" s="826">
        <v>31030.610089302099</v>
      </c>
      <c r="J785" s="826">
        <v>2510.6000127792399</v>
      </c>
      <c r="K785" s="343">
        <f t="shared" si="163"/>
        <v>58469.500057220452</v>
      </c>
      <c r="L785" s="826">
        <v>33179.420055389397</v>
      </c>
      <c r="M785" s="826">
        <v>1379.69000649452</v>
      </c>
      <c r="N785" s="827">
        <v>576</v>
      </c>
      <c r="O785" s="343">
        <f t="shared" si="144"/>
        <v>173.31210070477545</v>
      </c>
      <c r="P785" s="343">
        <f t="shared" si="145"/>
        <v>113.31364573622699</v>
      </c>
      <c r="Q785" s="343">
        <f t="shared" si="146"/>
        <v>105.86822928819392</v>
      </c>
      <c r="R785" s="344">
        <f t="shared" si="147"/>
        <v>0.61085307291112201</v>
      </c>
      <c r="S785" s="344">
        <f t="shared" si="148"/>
        <v>0.97166961720559142</v>
      </c>
      <c r="T785" s="343">
        <f t="shared" si="149"/>
        <v>74954.64</v>
      </c>
      <c r="U785" s="826">
        <v>54911.27</v>
      </c>
      <c r="V785" s="826">
        <v>459.15</v>
      </c>
      <c r="W785" s="815">
        <f t="shared" si="158"/>
        <v>8.3616714747264086E-3</v>
      </c>
      <c r="X785" s="826">
        <v>476.85</v>
      </c>
      <c r="Y785" s="815">
        <f t="shared" si="159"/>
        <v>8.684009675973622E-3</v>
      </c>
      <c r="Z785" s="826">
        <v>1128</v>
      </c>
      <c r="AA785" s="815">
        <f t="shared" si="160"/>
        <v>2.0542231130330806E-2</v>
      </c>
      <c r="AB785" s="826">
        <v>2149.29</v>
      </c>
      <c r="AC785" s="815">
        <f t="shared" si="161"/>
        <v>3.9141145342294945E-2</v>
      </c>
      <c r="AD785" s="826">
        <v>20043.370000000003</v>
      </c>
      <c r="AE785" s="826">
        <v>2165.35</v>
      </c>
      <c r="AF785" s="815">
        <f t="shared" si="154"/>
        <v>0.10803322994087319</v>
      </c>
      <c r="AG785" s="826">
        <v>1210.94</v>
      </c>
      <c r="AH785" s="815">
        <f t="shared" si="155"/>
        <v>6.0415987930173415E-2</v>
      </c>
      <c r="AI785" s="826">
        <v>1178.0999999999999</v>
      </c>
      <c r="AJ785" s="815">
        <f t="shared" si="156"/>
        <v>5.87775409025528E-2</v>
      </c>
      <c r="AK785" s="826">
        <v>6878.41</v>
      </c>
      <c r="AL785" s="815">
        <f t="shared" si="157"/>
        <v>0.34317632214542759</v>
      </c>
      <c r="AM785" s="350">
        <f>IFERROR(T785/(D785+D739+D696)*90,"0.00")</f>
        <v>21.805956039398538</v>
      </c>
      <c r="AN785" s="350">
        <f>IFERROR(U785/(F785+F739+F696)*90,"0.00")</f>
        <v>16.856688038156076</v>
      </c>
      <c r="AO785" s="350">
        <f>IFERROR(AD785/(E785+E739+E696)*90,"0.00")</f>
        <v>111.4690980970082</v>
      </c>
      <c r="AP785" s="816">
        <f t="shared" si="150"/>
        <v>3.8465628295888815E-2</v>
      </c>
    </row>
    <row r="786" spans="1:42" x14ac:dyDescent="0.2">
      <c r="A786" s="638">
        <v>42853</v>
      </c>
      <c r="B786" s="826" t="s">
        <v>137</v>
      </c>
      <c r="C786" s="826" t="s">
        <v>206</v>
      </c>
      <c r="D786" s="826">
        <v>148929.770006904</v>
      </c>
      <c r="E786" s="826">
        <v>7643</v>
      </c>
      <c r="F786" s="826">
        <v>141286.770006904</v>
      </c>
      <c r="G786" s="826">
        <v>97766.410061446906</v>
      </c>
      <c r="H786" s="826">
        <v>50508.270029840998</v>
      </c>
      <c r="I786" s="826">
        <v>47258.140031606003</v>
      </c>
      <c r="J786" s="826">
        <v>4472.9600064754504</v>
      </c>
      <c r="K786" s="343">
        <f t="shared" si="163"/>
        <v>93293.450054971559</v>
      </c>
      <c r="L786" s="826">
        <v>60178.239974021897</v>
      </c>
      <c r="M786" s="826">
        <v>4464.4200321733997</v>
      </c>
      <c r="N786" s="827">
        <v>728</v>
      </c>
      <c r="O786" s="343">
        <f t="shared" si="144"/>
        <v>204.5738598995934</v>
      </c>
      <c r="P786" s="343">
        <f t="shared" si="145"/>
        <v>115.77899725372075</v>
      </c>
      <c r="Q786" s="343">
        <f t="shared" si="146"/>
        <v>134.29451931517445</v>
      </c>
      <c r="R786" s="344">
        <f t="shared" si="147"/>
        <v>0.65645982033622163</v>
      </c>
      <c r="S786" s="344">
        <f t="shared" si="148"/>
        <v>1.2249257815626782</v>
      </c>
      <c r="T786" s="343">
        <f t="shared" si="149"/>
        <v>134057.92000000001</v>
      </c>
      <c r="U786" s="826">
        <v>110320.64</v>
      </c>
      <c r="V786" s="826">
        <v>3810.1</v>
      </c>
      <c r="W786" s="815">
        <f t="shared" si="158"/>
        <v>3.4536601673086739E-2</v>
      </c>
      <c r="X786" s="826">
        <v>4971.92</v>
      </c>
      <c r="Y786" s="815">
        <f t="shared" si="159"/>
        <v>4.5067903884531489E-2</v>
      </c>
      <c r="Z786" s="826">
        <v>2778.37</v>
      </c>
      <c r="AA786" s="815">
        <f t="shared" si="160"/>
        <v>2.5184498567085906E-2</v>
      </c>
      <c r="AB786" s="826">
        <v>9671.51</v>
      </c>
      <c r="AC786" s="815">
        <f t="shared" si="161"/>
        <v>8.7667276041908382E-2</v>
      </c>
      <c r="AD786" s="826">
        <v>23737.280000000002</v>
      </c>
      <c r="AE786" s="826">
        <v>4281.63</v>
      </c>
      <c r="AF786" s="815">
        <f t="shared" si="154"/>
        <v>0.18037576335620592</v>
      </c>
      <c r="AG786" s="826">
        <v>2515.08</v>
      </c>
      <c r="AH786" s="815">
        <f t="shared" si="155"/>
        <v>0.10595485245150243</v>
      </c>
      <c r="AI786" s="826">
        <v>1589.79</v>
      </c>
      <c r="AJ786" s="815">
        <f t="shared" si="156"/>
        <v>6.6974396392510002E-2</v>
      </c>
      <c r="AK786" s="826">
        <v>5695.05</v>
      </c>
      <c r="AL786" s="815">
        <f t="shared" si="157"/>
        <v>0.23992007508863694</v>
      </c>
      <c r="AM786" s="350">
        <f>IFERROR(T786/(D786+D740+D698)*90,"0.00")</f>
        <v>24.550005321006729</v>
      </c>
      <c r="AN786" s="350">
        <f>IFERROR(U786/(F786+F740+F698)*90,"0.00")</f>
        <v>21.304019976661806</v>
      </c>
      <c r="AO786" s="350">
        <f>IFERROR(AD786/(E786+E740+E698)*90,"0.00")</f>
        <v>84.111783928501126</v>
      </c>
      <c r="AP786" s="816">
        <f t="shared" si="150"/>
        <v>5.3068138253142626E-2</v>
      </c>
    </row>
    <row r="787" spans="1:42" x14ac:dyDescent="0.2">
      <c r="A787" s="638">
        <v>42853</v>
      </c>
      <c r="B787" s="828" t="s">
        <v>137</v>
      </c>
      <c r="C787" s="828" t="s">
        <v>208</v>
      </c>
      <c r="D787" s="828">
        <v>131697.340004692</v>
      </c>
      <c r="E787" s="828">
        <v>6945</v>
      </c>
      <c r="F787" s="828">
        <v>124752.340004692</v>
      </c>
      <c r="G787" s="828">
        <v>78110.780040677593</v>
      </c>
      <c r="H787" s="828">
        <v>41413.0599995218</v>
      </c>
      <c r="I787" s="828">
        <v>36697.720041155801</v>
      </c>
      <c r="J787" s="828">
        <v>4814.0800118446396</v>
      </c>
      <c r="K787" s="343">
        <f t="shared" si="163"/>
        <v>73296.700028832973</v>
      </c>
      <c r="L787" s="828">
        <v>45718.120109025404</v>
      </c>
      <c r="M787" s="828">
        <v>5528.9199936389896</v>
      </c>
      <c r="N787" s="829">
        <v>684</v>
      </c>
      <c r="O787" s="343">
        <f t="shared" si="144"/>
        <v>192.53997076709356</v>
      </c>
      <c r="P787" s="343">
        <f t="shared" si="145"/>
        <v>117.61739751758422</v>
      </c>
      <c r="Q787" s="343">
        <f t="shared" si="146"/>
        <v>114.19704684309592</v>
      </c>
      <c r="R787" s="344">
        <f t="shared" si="147"/>
        <v>0.59310825896631436</v>
      </c>
      <c r="S787" s="344">
        <f t="shared" si="148"/>
        <v>1.0327166026288395</v>
      </c>
      <c r="T787" s="343">
        <f t="shared" si="149"/>
        <v>126235.01</v>
      </c>
      <c r="U787" s="828">
        <v>95143.42</v>
      </c>
      <c r="V787" s="828">
        <v>1961.25</v>
      </c>
      <c r="W787" s="815">
        <f t="shared" si="158"/>
        <v>2.0613616790315085E-2</v>
      </c>
      <c r="X787" s="828">
        <v>2478.42</v>
      </c>
      <c r="Y787" s="815">
        <f t="shared" si="159"/>
        <v>2.6049305353959318E-2</v>
      </c>
      <c r="Z787" s="828">
        <v>1147.76</v>
      </c>
      <c r="AA787" s="815">
        <f t="shared" si="160"/>
        <v>1.206347217705649E-2</v>
      </c>
      <c r="AB787" s="828">
        <v>-1066.6300000000001</v>
      </c>
      <c r="AC787" s="815">
        <f t="shared" si="161"/>
        <v>-1.1210759503915249E-2</v>
      </c>
      <c r="AD787" s="828">
        <v>31091.59</v>
      </c>
      <c r="AE787" s="828">
        <v>1871.08</v>
      </c>
      <c r="AF787" s="815">
        <f t="shared" si="154"/>
        <v>6.0179617703694149E-2</v>
      </c>
      <c r="AG787" s="828">
        <v>2288.56</v>
      </c>
      <c r="AH787" s="815">
        <f t="shared" si="155"/>
        <v>7.3607042933474934E-2</v>
      </c>
      <c r="AI787" s="828">
        <v>2706.04</v>
      </c>
      <c r="AJ787" s="815">
        <f t="shared" si="156"/>
        <v>8.7034468163255718E-2</v>
      </c>
      <c r="AK787" s="828">
        <v>12434.54</v>
      </c>
      <c r="AL787" s="815">
        <f t="shared" si="157"/>
        <v>0.39993258627172174</v>
      </c>
      <c r="AM787" s="350">
        <f>IFERROR(T787/(D787+D741+D699)*90,"0.00")</f>
        <v>25.415380590281398</v>
      </c>
      <c r="AN787" s="350">
        <f>IFERROR(U787/(F787+F741+F699)*90,"0.00")</f>
        <v>20.080466717532079</v>
      </c>
      <c r="AO787" s="350">
        <f>IFERROR(AD787/(E787+E741+E699)*90,"0.00")</f>
        <v>135.90961678566225</v>
      </c>
      <c r="AP787" s="816">
        <f t="shared" si="150"/>
        <v>5.983918043446982E-2</v>
      </c>
    </row>
  </sheetData>
  <sheetProtection password="B3E5"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S334"/>
  <sheetViews>
    <sheetView showGridLines="0" zoomScale="125" zoomScaleNormal="125" workbookViewId="0">
      <pane xSplit="1" topLeftCell="BM1" activePane="topRight" state="frozen"/>
      <selection activeCell="BO18" sqref="BO18"/>
      <selection pane="topRight" activeCell="A3" sqref="A3"/>
    </sheetView>
  </sheetViews>
  <sheetFormatPr defaultRowHeight="12.75" x14ac:dyDescent="0.2"/>
  <cols>
    <col min="1" max="1" width="24.140625" style="1" bestFit="1" customWidth="1"/>
    <col min="2" max="4" width="8.7109375" style="1" hidden="1" customWidth="1"/>
    <col min="5" max="10" width="9.5703125" style="1" hidden="1" customWidth="1"/>
    <col min="11" max="13" width="9.5703125" style="91" hidden="1" customWidth="1"/>
    <col min="14" max="14" width="9.5703125" style="92" hidden="1" customWidth="1"/>
    <col min="15" max="15" width="12.140625" style="92" hidden="1" customWidth="1"/>
    <col min="16" max="16" width="9.5703125" style="92" hidden="1" customWidth="1"/>
    <col min="17" max="18" width="11.42578125" style="92" hidden="1" customWidth="1"/>
    <col min="19" max="21" width="12.28515625" style="92" hidden="1" customWidth="1"/>
    <col min="22" max="25" width="11.7109375" style="1" hidden="1" customWidth="1"/>
    <col min="26" max="26" width="10.85546875" style="142" hidden="1" customWidth="1"/>
    <col min="27" max="27" width="12.140625" style="142" hidden="1" customWidth="1"/>
    <col min="28" max="28" width="10.85546875" style="143" hidden="1" customWidth="1"/>
    <col min="29" max="31" width="11.42578125" style="142" hidden="1" customWidth="1"/>
    <col min="32" max="33" width="11.42578125" style="143" hidden="1" customWidth="1"/>
    <col min="34" max="38" width="11.42578125" style="142" hidden="1" customWidth="1"/>
    <col min="39" max="48" width="12.7109375" style="142" hidden="1" customWidth="1"/>
    <col min="49" max="50" width="11.42578125" style="142" hidden="1" customWidth="1"/>
    <col min="51" max="51" width="12.140625" style="209" hidden="1" customWidth="1"/>
    <col min="52" max="52" width="12.7109375" style="209" hidden="1" customWidth="1"/>
    <col min="53" max="54" width="12.7109375" style="143" hidden="1" customWidth="1"/>
    <col min="55" max="56" width="12.7109375" style="142" hidden="1" customWidth="1"/>
    <col min="57" max="58" width="12.7109375" style="142" customWidth="1"/>
    <col min="59" max="59" width="14.42578125" style="142" bestFit="1" customWidth="1"/>
    <col min="60" max="60" width="14.42578125" style="142" customWidth="1"/>
    <col min="61" max="61" width="14.42578125" style="142" bestFit="1" customWidth="1"/>
    <col min="62" max="64" width="14.42578125" style="142" customWidth="1"/>
    <col min="65" max="70" width="11.85546875" style="142" customWidth="1"/>
    <col min="71" max="71" width="11.7109375" bestFit="1" customWidth="1"/>
  </cols>
  <sheetData>
    <row r="1" spans="1:71" x14ac:dyDescent="0.2">
      <c r="Z1" s="1"/>
      <c r="AA1" s="1"/>
      <c r="AB1" s="108"/>
      <c r="AC1" s="1"/>
      <c r="AD1" s="1"/>
      <c r="AE1" s="1"/>
      <c r="AF1" s="108"/>
      <c r="AG1" s="108"/>
      <c r="AH1" s="1"/>
      <c r="AI1" s="1"/>
      <c r="AJ1" s="1"/>
      <c r="AK1" s="1"/>
      <c r="AL1" s="1"/>
      <c r="AM1" s="1"/>
      <c r="AN1" s="1"/>
      <c r="AO1" s="1"/>
      <c r="AP1" s="1"/>
      <c r="AQ1" s="1"/>
      <c r="AR1" s="1"/>
      <c r="AS1" s="1"/>
      <c r="AT1" s="1"/>
      <c r="AU1" s="1"/>
      <c r="AV1" s="1"/>
      <c r="AW1" s="1"/>
      <c r="AX1" s="1"/>
      <c r="AY1" s="92"/>
      <c r="AZ1" s="92"/>
      <c r="BA1" s="108"/>
      <c r="BB1" s="108"/>
      <c r="BC1" s="1"/>
      <c r="BD1" s="1"/>
      <c r="BE1" s="1"/>
      <c r="BF1" s="1"/>
      <c r="BG1" s="1"/>
      <c r="BH1" s="1"/>
      <c r="BI1" s="1"/>
      <c r="BJ1" s="1"/>
      <c r="BK1" s="1"/>
      <c r="BL1" s="1"/>
      <c r="BM1" s="1"/>
      <c r="BN1" s="1"/>
      <c r="BO1" s="1"/>
      <c r="BP1" s="1"/>
      <c r="BQ1" s="1"/>
      <c r="BR1" s="1"/>
    </row>
    <row r="2" spans="1:71" ht="13.5" thickBot="1" x14ac:dyDescent="0.25">
      <c r="Z2" s="1"/>
      <c r="AA2" s="1"/>
      <c r="AB2" s="108"/>
      <c r="AC2" s="1"/>
      <c r="AD2" s="1"/>
      <c r="AE2" s="1"/>
      <c r="AF2" s="108"/>
      <c r="AG2" s="108"/>
      <c r="AH2" s="1"/>
      <c r="AI2" s="1"/>
      <c r="AJ2" s="1"/>
      <c r="AK2" s="1"/>
      <c r="AL2" s="1"/>
      <c r="AM2" s="1"/>
      <c r="AN2" s="1"/>
      <c r="AO2" s="1"/>
      <c r="AP2" s="1"/>
      <c r="AQ2" s="1"/>
      <c r="AR2" s="1"/>
      <c r="AS2" s="1"/>
      <c r="AT2" s="1"/>
      <c r="AU2" s="1"/>
      <c r="AV2" s="1"/>
      <c r="AW2" s="1"/>
      <c r="AX2" s="1"/>
      <c r="AY2" s="92"/>
      <c r="AZ2" s="92"/>
      <c r="BA2" s="108"/>
      <c r="BB2" s="108"/>
      <c r="BC2" s="1"/>
      <c r="BD2" s="1"/>
      <c r="BE2" s="1"/>
      <c r="BF2" s="1"/>
      <c r="BG2" s="1"/>
      <c r="BH2" s="1"/>
      <c r="BI2" s="1"/>
      <c r="BJ2" s="1"/>
      <c r="BK2" s="1"/>
      <c r="BL2" s="1"/>
      <c r="BM2" s="1"/>
      <c r="BN2" s="1"/>
      <c r="BO2" s="1"/>
      <c r="BP2" s="1"/>
      <c r="BQ2" s="1"/>
      <c r="BR2" s="1"/>
    </row>
    <row r="3" spans="1:71" s="1" customFormat="1" ht="12" thickBot="1" x14ac:dyDescent="0.25">
      <c r="A3" s="419" t="s">
        <v>0</v>
      </c>
      <c r="B3" s="420">
        <v>40766</v>
      </c>
      <c r="C3" s="420">
        <v>40797</v>
      </c>
      <c r="D3" s="420">
        <v>40827</v>
      </c>
      <c r="E3" s="420">
        <v>40858</v>
      </c>
      <c r="F3" s="421">
        <v>40878</v>
      </c>
      <c r="G3" s="421">
        <v>40909</v>
      </c>
      <c r="H3" s="421">
        <v>40941</v>
      </c>
      <c r="I3" s="421">
        <v>40969</v>
      </c>
      <c r="J3" s="421">
        <v>41000</v>
      </c>
      <c r="K3" s="422">
        <v>41041</v>
      </c>
      <c r="L3" s="422">
        <v>41072</v>
      </c>
      <c r="M3" s="422">
        <v>41102</v>
      </c>
      <c r="N3" s="423">
        <v>41133</v>
      </c>
      <c r="O3" s="423">
        <v>41164</v>
      </c>
      <c r="P3" s="422">
        <v>41183</v>
      </c>
      <c r="Q3" s="422">
        <v>41214</v>
      </c>
      <c r="R3" s="424">
        <v>41244</v>
      </c>
      <c r="S3" s="424">
        <v>41275</v>
      </c>
      <c r="T3" s="424">
        <v>41306</v>
      </c>
      <c r="U3" s="424">
        <v>41334</v>
      </c>
      <c r="V3" s="425">
        <v>41365</v>
      </c>
      <c r="W3" s="425">
        <v>41395</v>
      </c>
      <c r="X3" s="425">
        <v>41426</v>
      </c>
      <c r="Y3" s="100">
        <v>41456</v>
      </c>
      <c r="Z3" s="100">
        <v>41487</v>
      </c>
      <c r="AA3" s="100">
        <v>41518</v>
      </c>
      <c r="AB3" s="100">
        <v>41548</v>
      </c>
      <c r="AC3" s="100">
        <v>41579</v>
      </c>
      <c r="AD3" s="100">
        <v>41609</v>
      </c>
      <c r="AE3" s="100">
        <v>41640</v>
      </c>
      <c r="AF3" s="100">
        <v>41671</v>
      </c>
      <c r="AG3" s="100">
        <v>41699</v>
      </c>
      <c r="AH3" s="124">
        <v>41730</v>
      </c>
      <c r="AI3" s="100">
        <v>41760</v>
      </c>
      <c r="AJ3" s="100">
        <v>41791</v>
      </c>
      <c r="AK3" s="140">
        <v>41821</v>
      </c>
      <c r="AL3" s="140">
        <v>41852</v>
      </c>
      <c r="AM3" s="140">
        <v>41883</v>
      </c>
      <c r="AN3" s="140">
        <v>41913</v>
      </c>
      <c r="AO3" s="140">
        <v>41944</v>
      </c>
      <c r="AP3" s="140">
        <v>41974</v>
      </c>
      <c r="AQ3" s="140">
        <v>42006</v>
      </c>
      <c r="AR3" s="140">
        <v>42037</v>
      </c>
      <c r="AS3" s="140">
        <v>42065</v>
      </c>
      <c r="AT3" s="175">
        <v>42096</v>
      </c>
      <c r="AU3" s="175">
        <v>42126</v>
      </c>
      <c r="AV3" s="394">
        <v>42157</v>
      </c>
      <c r="AW3" s="100">
        <v>42187</v>
      </c>
      <c r="AX3" s="394">
        <v>42218</v>
      </c>
      <c r="AY3" s="211">
        <v>42249</v>
      </c>
      <c r="AZ3" s="395">
        <v>42279</v>
      </c>
      <c r="BA3" s="237">
        <v>42309</v>
      </c>
      <c r="BB3" s="396">
        <v>42339</v>
      </c>
      <c r="BC3" s="140">
        <v>42370</v>
      </c>
      <c r="BD3" s="397">
        <v>42401</v>
      </c>
      <c r="BE3" s="394">
        <v>42445</v>
      </c>
      <c r="BF3" s="753">
        <v>42476</v>
      </c>
      <c r="BG3" s="755">
        <v>42506</v>
      </c>
      <c r="BH3" s="755">
        <v>42537</v>
      </c>
      <c r="BI3" s="100">
        <v>42567</v>
      </c>
      <c r="BJ3" s="100" t="s">
        <v>297</v>
      </c>
      <c r="BK3" s="100" t="s">
        <v>298</v>
      </c>
      <c r="BL3" s="100" t="s">
        <v>299</v>
      </c>
      <c r="BM3" s="100" t="s">
        <v>309</v>
      </c>
      <c r="BN3" s="100" t="s">
        <v>316</v>
      </c>
      <c r="BO3" s="100" t="s">
        <v>322</v>
      </c>
      <c r="BP3" s="211" t="s">
        <v>325</v>
      </c>
      <c r="BQ3" s="100" t="s">
        <v>327</v>
      </c>
      <c r="BR3" s="773" t="s">
        <v>330</v>
      </c>
      <c r="BS3" s="100" t="s">
        <v>237</v>
      </c>
    </row>
    <row r="4" spans="1:71" s="1" customFormat="1" ht="11.25" x14ac:dyDescent="0.2">
      <c r="A4" s="398" t="s">
        <v>1</v>
      </c>
      <c r="B4" s="372">
        <v>22212.79</v>
      </c>
      <c r="C4" s="2">
        <v>50143</v>
      </c>
      <c r="D4" s="2">
        <v>58347.25</v>
      </c>
      <c r="E4" s="3">
        <v>107408.75</v>
      </c>
      <c r="F4" s="3">
        <v>143428.54999999999</v>
      </c>
      <c r="G4" s="3">
        <v>183256</v>
      </c>
      <c r="H4" s="3">
        <v>226592.75</v>
      </c>
      <c r="I4" s="3">
        <v>356049.8</v>
      </c>
      <c r="J4" s="3">
        <v>402706.25</v>
      </c>
      <c r="K4" s="65">
        <v>478235.25</v>
      </c>
      <c r="L4" s="66">
        <v>507906.08</v>
      </c>
      <c r="M4" s="66">
        <v>495980.88</v>
      </c>
      <c r="N4" s="67">
        <v>565651</v>
      </c>
      <c r="O4" s="67">
        <v>753744.15</v>
      </c>
      <c r="P4" s="66">
        <v>931508.44</v>
      </c>
      <c r="Q4" s="66">
        <v>1047050.57</v>
      </c>
      <c r="R4" s="67">
        <v>1647689.13</v>
      </c>
      <c r="S4" s="66">
        <v>1939833.64</v>
      </c>
      <c r="T4" s="66">
        <v>1448386.41</v>
      </c>
      <c r="U4" s="68">
        <v>1582268.85</v>
      </c>
      <c r="V4" s="94">
        <v>1541036.93</v>
      </c>
      <c r="W4" s="94">
        <v>1626712.96</v>
      </c>
      <c r="X4" s="94">
        <v>1411802.84</v>
      </c>
      <c r="Y4" s="101">
        <v>1566515.7</v>
      </c>
      <c r="Z4" s="101">
        <v>1593860.01</v>
      </c>
      <c r="AA4" s="101">
        <v>1863245.08</v>
      </c>
      <c r="AB4" s="101">
        <v>2130632.11999992</v>
      </c>
      <c r="AC4" s="101">
        <v>2266963.9500000002</v>
      </c>
      <c r="AD4" s="101">
        <v>3002373.4899998498</v>
      </c>
      <c r="AE4" s="101">
        <v>3029970.86</v>
      </c>
      <c r="AF4" s="101">
        <v>2258996.2999999998</v>
      </c>
      <c r="AG4" s="101">
        <v>2565839.5699999998</v>
      </c>
      <c r="AH4" s="125">
        <v>2590348.4399998598</v>
      </c>
      <c r="AI4" s="101">
        <v>2763800.14</v>
      </c>
      <c r="AJ4" s="101">
        <v>2639738.1</v>
      </c>
      <c r="AK4" s="125">
        <v>2191227.84</v>
      </c>
      <c r="AL4" s="125">
        <v>2325183.13</v>
      </c>
      <c r="AM4" s="125">
        <v>2585060.9700000002</v>
      </c>
      <c r="AN4" s="125">
        <v>2465776.41</v>
      </c>
      <c r="AO4" s="101">
        <v>2820021.54</v>
      </c>
      <c r="AP4" s="125">
        <v>3248680.77</v>
      </c>
      <c r="AQ4" s="150">
        <v>3431178.67</v>
      </c>
      <c r="AR4" s="160">
        <v>3633519.6399984001</v>
      </c>
      <c r="AS4" s="168">
        <v>3298372.79</v>
      </c>
      <c r="AT4" s="168">
        <v>3867748.8300026599</v>
      </c>
      <c r="AU4" s="168">
        <v>3512341.53</v>
      </c>
      <c r="AV4" s="160">
        <v>3377907.4499958199</v>
      </c>
      <c r="AW4" s="176">
        <v>3158436.64</v>
      </c>
      <c r="AX4" s="160">
        <v>3903191.84</v>
      </c>
      <c r="AY4" s="168">
        <v>3952718.7199999997</v>
      </c>
      <c r="AZ4" s="407">
        <v>4101115.6799826119</v>
      </c>
      <c r="BA4" s="176">
        <v>4328860.6100017177</v>
      </c>
      <c r="BB4" s="160">
        <v>4456280.3600000003</v>
      </c>
      <c r="BC4" s="383">
        <v>4650274.71</v>
      </c>
      <c r="BD4" s="435">
        <v>4893997.47</v>
      </c>
      <c r="BE4" s="435">
        <v>5392757.210625113</v>
      </c>
      <c r="BF4" s="435">
        <v>5178131.8800000008</v>
      </c>
      <c r="BG4" s="756">
        <v>6399239.4184938725</v>
      </c>
      <c r="BH4" s="756">
        <f>+'KPI - Market 1'!BI4+'KPI - Market 2'!L4</f>
        <v>4970963.7011562306</v>
      </c>
      <c r="BI4" s="754">
        <v>4903438.5205694064</v>
      </c>
      <c r="BJ4" s="754">
        <f>'KPI - Market 1'!BK4+'KPI - Market 2'!N4</f>
        <v>4648067.9706127932</v>
      </c>
      <c r="BK4" s="754">
        <f>'KPI - Market 1'!BL4+'KPI - Market 2'!O4</f>
        <v>4994122.6105059739</v>
      </c>
      <c r="BL4" s="754">
        <f>'KPI - Market 1'!BM4+'KPI - Market 2'!P4</f>
        <v>5548810.5607264536</v>
      </c>
      <c r="BM4" s="754">
        <f>+'KPI - Market 1'!BN4+'KPI - Market 2'!Q4</f>
        <v>5345608.750733153</v>
      </c>
      <c r="BN4" s="754">
        <f>+'KPI - Market 1'!BO4+'KPI - Market 2'!R4</f>
        <v>5384204.0008273963</v>
      </c>
      <c r="BO4" s="754">
        <f>+'KPI - Market 1'!BP4+'KPI - Market 2'!S4</f>
        <v>6646181.2007573266</v>
      </c>
      <c r="BP4" s="817">
        <f>+'KPI - Market 1'!BQ4+'KPI - Market 2'!T4</f>
        <v>6570968.0507790688</v>
      </c>
      <c r="BQ4" s="754">
        <f>+'KPI - Market 1'!BR4+'KPI - Market 2'!U4</f>
        <v>6162912.1707998654</v>
      </c>
      <c r="BR4" s="774">
        <f>+'KPI - Market 1'!BS4+'KPI - Market 2'!V4</f>
        <v>5836264.9009266878</v>
      </c>
      <c r="BS4" s="754">
        <f>AVERAGE(BG4:BR4)</f>
        <v>5617565.1547406865</v>
      </c>
    </row>
    <row r="5" spans="1:71" s="1" customFormat="1" ht="11.25" x14ac:dyDescent="0.2">
      <c r="A5" s="399" t="s">
        <v>2</v>
      </c>
      <c r="B5" s="372">
        <v>3717</v>
      </c>
      <c r="C5" s="2">
        <v>6236</v>
      </c>
      <c r="D5" s="2">
        <v>6525</v>
      </c>
      <c r="E5" s="4">
        <v>9593</v>
      </c>
      <c r="F5" s="4">
        <v>13635</v>
      </c>
      <c r="G5" s="5">
        <v>16480</v>
      </c>
      <c r="H5" s="5">
        <v>26761</v>
      </c>
      <c r="I5" s="5">
        <v>47476</v>
      </c>
      <c r="J5" s="5">
        <v>45997</v>
      </c>
      <c r="K5" s="69">
        <v>63415</v>
      </c>
      <c r="L5" s="70">
        <v>63965</v>
      </c>
      <c r="M5" s="70">
        <v>79339</v>
      </c>
      <c r="N5" s="71">
        <v>105913</v>
      </c>
      <c r="O5" s="71">
        <v>89450</v>
      </c>
      <c r="P5" s="70">
        <v>83147</v>
      </c>
      <c r="Q5" s="70">
        <v>95169</v>
      </c>
      <c r="R5" s="71">
        <v>130059</v>
      </c>
      <c r="S5" s="70">
        <v>208667.6</v>
      </c>
      <c r="T5" s="70">
        <v>127330</v>
      </c>
      <c r="U5" s="72">
        <v>144010</v>
      </c>
      <c r="V5" s="95">
        <v>139376</v>
      </c>
      <c r="W5" s="95">
        <v>149940</v>
      </c>
      <c r="X5" s="95">
        <v>152998</v>
      </c>
      <c r="Y5" s="102">
        <v>179408</v>
      </c>
      <c r="Z5" s="102">
        <v>231113</v>
      </c>
      <c r="AA5" s="102">
        <v>186398.01</v>
      </c>
      <c r="AB5" s="102">
        <v>198342</v>
      </c>
      <c r="AC5" s="102">
        <v>186136.01</v>
      </c>
      <c r="AD5" s="102">
        <v>215427</v>
      </c>
      <c r="AE5" s="102">
        <v>232712</v>
      </c>
      <c r="AF5" s="102">
        <v>156209</v>
      </c>
      <c r="AG5" s="102">
        <v>191233</v>
      </c>
      <c r="AH5" s="126">
        <v>175394</v>
      </c>
      <c r="AI5" s="102">
        <v>189280.82</v>
      </c>
      <c r="AJ5" s="102">
        <v>179899</v>
      </c>
      <c r="AK5" s="126">
        <v>164555</v>
      </c>
      <c r="AL5" s="126">
        <v>242473.04</v>
      </c>
      <c r="AM5" s="126">
        <v>249914.01</v>
      </c>
      <c r="AN5" s="126">
        <v>179563</v>
      </c>
      <c r="AO5" s="102">
        <v>217122</v>
      </c>
      <c r="AP5" s="126">
        <v>199464</v>
      </c>
      <c r="AQ5" s="151">
        <v>210367.03</v>
      </c>
      <c r="AR5" s="161">
        <v>205204</v>
      </c>
      <c r="AS5" s="169">
        <v>201792.03</v>
      </c>
      <c r="AT5" s="169">
        <v>222727.02999999901</v>
      </c>
      <c r="AU5" s="169">
        <v>206836</v>
      </c>
      <c r="AV5" s="161">
        <v>236260.009998322</v>
      </c>
      <c r="AW5" s="177">
        <v>233689</v>
      </c>
      <c r="AX5" s="161">
        <v>416851.36</v>
      </c>
      <c r="AY5" s="169">
        <v>267035</v>
      </c>
      <c r="AZ5" s="408">
        <v>247399</v>
      </c>
      <c r="BA5" s="177">
        <v>262241.00999999978</v>
      </c>
      <c r="BB5" s="161">
        <v>252165</v>
      </c>
      <c r="BC5" s="384">
        <v>262896.55</v>
      </c>
      <c r="BD5" s="436">
        <v>248236</v>
      </c>
      <c r="BE5" s="436">
        <v>290169.00999999978</v>
      </c>
      <c r="BF5" s="436">
        <v>262201.01</v>
      </c>
      <c r="BG5" s="436">
        <v>324582.00999999978</v>
      </c>
      <c r="BH5" s="436">
        <f>+'KPI - Market 1'!BI5+'KPI - Market 2'!L5</f>
        <v>274568</v>
      </c>
      <c r="BI5" s="161">
        <v>296932.11000061041</v>
      </c>
      <c r="BJ5" s="161">
        <f>'KPI - Market 1'!BK5+'KPI - Market 2'!N5</f>
        <v>435602.96000576031</v>
      </c>
      <c r="BK5" s="161">
        <f>'KPI - Market 1'!BL5+'KPI - Market 2'!O5</f>
        <v>312732.69000053412</v>
      </c>
      <c r="BL5" s="161">
        <f>'KPI - Market 1'!BM5+'KPI - Market 2'!P5</f>
        <v>315076.31999994256</v>
      </c>
      <c r="BM5" s="161">
        <f>+'KPI - Market 1'!BN5+'KPI - Market 2'!Q5</f>
        <v>317258.19000244141</v>
      </c>
      <c r="BN5" s="161">
        <f>+'KPI - Market 1'!BO5+'KPI - Market 2'!R5</f>
        <v>302009.82000137307</v>
      </c>
      <c r="BO5" s="161">
        <f>+'KPI - Market 1'!BP5+'KPI - Market 2'!S5</f>
        <v>407795.98000240332</v>
      </c>
      <c r="BP5" s="408">
        <f>+'KPI - Market 1'!BQ5+'KPI - Market 2'!T5</f>
        <v>347443</v>
      </c>
      <c r="BQ5" s="161">
        <f>+'KPI - Market 1'!BR5+'KPI - Market 2'!U5</f>
        <v>324206.32000423421</v>
      </c>
      <c r="BR5" s="775">
        <f>+'KPI - Market 1'!BS5+'KPI - Market 2'!V5</f>
        <v>339070.86000228865</v>
      </c>
      <c r="BS5" s="161">
        <f t="shared" ref="BS5:BS34" si="0">AVERAGE(BG5:BR5)</f>
        <v>333106.52166829893</v>
      </c>
    </row>
    <row r="6" spans="1:71" s="1" customFormat="1" ht="11.25" x14ac:dyDescent="0.2">
      <c r="A6" s="400" t="s">
        <v>3</v>
      </c>
      <c r="B6" s="372">
        <v>851.3</v>
      </c>
      <c r="C6" s="2">
        <v>8456.8499526977503</v>
      </c>
      <c r="D6" s="2">
        <v>12079.79</v>
      </c>
      <c r="E6" s="4">
        <v>17791.47</v>
      </c>
      <c r="F6" s="4">
        <v>33907.35</v>
      </c>
      <c r="G6" s="5">
        <v>55962.45</v>
      </c>
      <c r="H6" s="5">
        <v>80466.710000000006</v>
      </c>
      <c r="I6" s="5">
        <v>68711.92</v>
      </c>
      <c r="J6" s="5">
        <v>153019.54</v>
      </c>
      <c r="K6" s="69">
        <v>125693.5</v>
      </c>
      <c r="L6" s="70">
        <v>148989.95000000001</v>
      </c>
      <c r="M6" s="70">
        <v>179816.65</v>
      </c>
      <c r="N6" s="71">
        <v>206714.23999999999</v>
      </c>
      <c r="O6" s="71">
        <v>211740.1</v>
      </c>
      <c r="P6" s="70">
        <v>277468.81</v>
      </c>
      <c r="Q6" s="70">
        <v>276232.52</v>
      </c>
      <c r="R6" s="71">
        <v>380179.5</v>
      </c>
      <c r="S6" s="70">
        <v>469034.41</v>
      </c>
      <c r="T6" s="70">
        <v>466544.09</v>
      </c>
      <c r="U6" s="72">
        <v>605828.27</v>
      </c>
      <c r="V6" s="95">
        <v>664853.87</v>
      </c>
      <c r="W6" s="95">
        <v>635968.89</v>
      </c>
      <c r="X6" s="95">
        <v>628698.87</v>
      </c>
      <c r="Y6" s="102">
        <v>660741.23</v>
      </c>
      <c r="Z6" s="102">
        <v>602328.4</v>
      </c>
      <c r="AA6" s="102">
        <v>699062.72</v>
      </c>
      <c r="AB6" s="102">
        <v>765223.39013025502</v>
      </c>
      <c r="AC6" s="102">
        <v>732131.74</v>
      </c>
      <c r="AD6" s="102">
        <v>970790.42049352301</v>
      </c>
      <c r="AE6" s="102">
        <v>1237187.54</v>
      </c>
      <c r="AF6" s="102">
        <v>873942.59</v>
      </c>
      <c r="AG6" s="102">
        <v>959927.08</v>
      </c>
      <c r="AH6" s="126">
        <v>1009712.56969934</v>
      </c>
      <c r="AI6" s="102">
        <v>859233.3</v>
      </c>
      <c r="AJ6" s="102">
        <v>986571.76</v>
      </c>
      <c r="AK6" s="126">
        <v>1033134.86</v>
      </c>
      <c r="AL6" s="126">
        <v>874089.32</v>
      </c>
      <c r="AM6" s="126">
        <v>1044091.51</v>
      </c>
      <c r="AN6" s="126">
        <v>952471.19</v>
      </c>
      <c r="AO6" s="102">
        <v>1110223.07</v>
      </c>
      <c r="AP6" s="126">
        <v>1211674.75</v>
      </c>
      <c r="AQ6" s="151">
        <v>1193373.76</v>
      </c>
      <c r="AR6" s="161">
        <v>1573160.90909801</v>
      </c>
      <c r="AS6" s="169">
        <v>1082772.6599999999</v>
      </c>
      <c r="AT6" s="169">
        <v>1330672.0597095699</v>
      </c>
      <c r="AU6" s="169">
        <v>1325828.0900000001</v>
      </c>
      <c r="AV6" s="161">
        <v>1567809.42081872</v>
      </c>
      <c r="AW6" s="177">
        <v>1313416.56</v>
      </c>
      <c r="AX6" s="161">
        <v>1487335.54</v>
      </c>
      <c r="AY6" s="169">
        <v>1317769.0299999998</v>
      </c>
      <c r="AZ6" s="408">
        <v>1102957.2500991963</v>
      </c>
      <c r="BA6" s="177">
        <v>1516687.930029792</v>
      </c>
      <c r="BB6" s="161">
        <v>1683443.51</v>
      </c>
      <c r="BC6" s="384">
        <v>1672267.8199999998</v>
      </c>
      <c r="BD6" s="436">
        <v>1504797.31</v>
      </c>
      <c r="BE6" s="436">
        <v>1691398.7596696974</v>
      </c>
      <c r="BF6" s="436">
        <v>2171004.1</v>
      </c>
      <c r="BG6" s="436">
        <v>2163078.5116228526</v>
      </c>
      <c r="BH6" s="436">
        <f>+'KPI - Market 1'!BI6+'KPI - Market 2'!L6</f>
        <v>2270637.0832950436</v>
      </c>
      <c r="BI6" s="161">
        <v>1955409.0525165086</v>
      </c>
      <c r="BJ6" s="161">
        <f>'KPI - Market 1'!BK6+'KPI - Market 2'!N6</f>
        <v>1751546.9710749481</v>
      </c>
      <c r="BK6" s="161">
        <f>'KPI - Market 1'!BL6+'KPI - Market 2'!O6</f>
        <v>2014211.9288933347</v>
      </c>
      <c r="BL6" s="161">
        <f>'KPI - Market 1'!BM6+'KPI - Market 2'!P6</f>
        <v>2122375.9899997767</v>
      </c>
      <c r="BM6" s="161">
        <f>+'KPI - Market 1'!BN6+'KPI - Market 2'!Q6</f>
        <v>2052953.4397518961</v>
      </c>
      <c r="BN6" s="161">
        <f>+'KPI - Market 1'!BO6+'KPI - Market 2'!R6</f>
        <v>2190882.9824677301</v>
      </c>
      <c r="BO6" s="161">
        <f>+'KPI - Market 1'!BP6+'KPI - Market 2'!S6</f>
        <v>2009216.7119113584</v>
      </c>
      <c r="BP6" s="408">
        <f>+'KPI - Market 1'!BQ6+'KPI - Market 2'!T6</f>
        <v>2099954.0411967221</v>
      </c>
      <c r="BQ6" s="161">
        <f>+'KPI - Market 1'!BR6+'KPI - Market 2'!U6</f>
        <v>2348110.9205118897</v>
      </c>
      <c r="BR6" s="775">
        <f>+'KPI - Market 1'!BS6+'KPI - Market 2'!V6</f>
        <v>1872251.2316481615</v>
      </c>
      <c r="BS6" s="161">
        <f t="shared" si="0"/>
        <v>2070885.7387408519</v>
      </c>
    </row>
    <row r="7" spans="1:71" s="1" customFormat="1" ht="11.25" x14ac:dyDescent="0.2">
      <c r="A7" s="400" t="s">
        <v>4</v>
      </c>
      <c r="B7" s="372">
        <v>6924</v>
      </c>
      <c r="C7" s="2">
        <v>9951</v>
      </c>
      <c r="D7" s="2">
        <v>13555</v>
      </c>
      <c r="E7" s="4">
        <v>24359.58</v>
      </c>
      <c r="F7" s="4">
        <v>37313.599999999999</v>
      </c>
      <c r="G7" s="5">
        <v>43295.43</v>
      </c>
      <c r="H7" s="5">
        <v>75424.66</v>
      </c>
      <c r="I7" s="5">
        <v>131593.24</v>
      </c>
      <c r="J7" s="5">
        <v>134876.62</v>
      </c>
      <c r="K7" s="69">
        <v>173196.05</v>
      </c>
      <c r="L7" s="70">
        <v>177547.53</v>
      </c>
      <c r="M7" s="70">
        <v>186464.47</v>
      </c>
      <c r="N7" s="71">
        <v>232024.75</v>
      </c>
      <c r="O7" s="71">
        <v>248582.63</v>
      </c>
      <c r="P7" s="70">
        <v>267526.34999999998</v>
      </c>
      <c r="Q7" s="70">
        <v>299755.90000000002</v>
      </c>
      <c r="R7" s="71">
        <v>457770.58</v>
      </c>
      <c r="S7" s="70">
        <v>615418.52</v>
      </c>
      <c r="T7" s="70">
        <v>511852.06</v>
      </c>
      <c r="U7" s="72">
        <v>572302.6</v>
      </c>
      <c r="V7" s="95">
        <v>545105.41</v>
      </c>
      <c r="W7" s="95">
        <v>563978.9</v>
      </c>
      <c r="X7" s="95">
        <v>544252.06000000006</v>
      </c>
      <c r="Y7" s="102">
        <v>571243.56000000006</v>
      </c>
      <c r="Z7" s="102">
        <v>633815.68999999994</v>
      </c>
      <c r="AA7" s="102">
        <v>630059.11</v>
      </c>
      <c r="AB7" s="102">
        <v>638957.24996289599</v>
      </c>
      <c r="AC7" s="102">
        <v>673470.25</v>
      </c>
      <c r="AD7" s="102">
        <v>835243.34001718496</v>
      </c>
      <c r="AE7" s="102">
        <v>931358.68</v>
      </c>
      <c r="AF7" s="102">
        <v>755447.14</v>
      </c>
      <c r="AG7" s="102">
        <v>869696.96</v>
      </c>
      <c r="AH7" s="126">
        <v>807465.22992309905</v>
      </c>
      <c r="AI7" s="102">
        <v>749362.5</v>
      </c>
      <c r="AJ7" s="102">
        <v>739379.01</v>
      </c>
      <c r="AK7" s="126">
        <v>711367.9</v>
      </c>
      <c r="AL7" s="126">
        <v>778443.7</v>
      </c>
      <c r="AM7" s="126">
        <v>824601.23</v>
      </c>
      <c r="AN7" s="126">
        <v>764978.43</v>
      </c>
      <c r="AO7" s="102">
        <v>815549.04</v>
      </c>
      <c r="AP7" s="126">
        <v>911501.02</v>
      </c>
      <c r="AQ7" s="151">
        <v>1030408.8</v>
      </c>
      <c r="AR7" s="161">
        <v>1076548.32996953</v>
      </c>
      <c r="AS7" s="169">
        <v>1103213.5900000001</v>
      </c>
      <c r="AT7" s="169">
        <v>1187653.91994859</v>
      </c>
      <c r="AU7" s="169">
        <v>1038260.96</v>
      </c>
      <c r="AV7" s="161">
        <v>1098734.9699183099</v>
      </c>
      <c r="AW7" s="177">
        <v>1064132.5900000001</v>
      </c>
      <c r="AX7" s="161">
        <v>1349735.79</v>
      </c>
      <c r="AY7" s="169">
        <v>1060614.69</v>
      </c>
      <c r="AZ7" s="408">
        <v>1622136.1899990463</v>
      </c>
      <c r="BA7" s="177">
        <v>1127912.0201206503</v>
      </c>
      <c r="BB7" s="161">
        <v>1246844.57</v>
      </c>
      <c r="BC7" s="384">
        <v>1414375.75</v>
      </c>
      <c r="BD7" s="436">
        <v>1622511.92</v>
      </c>
      <c r="BE7" s="436">
        <v>1740478.170297297</v>
      </c>
      <c r="BF7" s="436">
        <v>1677124.3699999999</v>
      </c>
      <c r="BG7" s="436">
        <v>1878103.8537775818</v>
      </c>
      <c r="BH7" s="436">
        <f>+'KPI - Market 1'!BI7+'KPI - Market 2'!L7</f>
        <v>1530343.6733570679</v>
      </c>
      <c r="BI7" s="161">
        <v>1573749.9440674207</v>
      </c>
      <c r="BJ7" s="161">
        <f>'KPI - Market 1'!BK7+'KPI - Market 2'!N7</f>
        <v>1647566.7936118988</v>
      </c>
      <c r="BK7" s="161">
        <f>'KPI - Market 1'!BL7+'KPI - Market 2'!O7</f>
        <v>1511465.2018563692</v>
      </c>
      <c r="BL7" s="161">
        <f>'KPI - Market 1'!BM7+'KPI - Market 2'!P7</f>
        <v>1534686.7615353765</v>
      </c>
      <c r="BM7" s="161">
        <f>+'KPI - Market 1'!BN7+'KPI - Market 2'!Q7</f>
        <v>1505759.7325334195</v>
      </c>
      <c r="BN7" s="161">
        <f>+'KPI - Market 1'!BO7+'KPI - Market 2'!R7</f>
        <v>1550729.762646893</v>
      </c>
      <c r="BO7" s="161">
        <f>+'KPI - Market 1'!BP7+'KPI - Market 2'!S7</f>
        <v>2057420.1053201181</v>
      </c>
      <c r="BP7" s="408">
        <f>+'KPI - Market 1'!BQ7+'KPI - Market 2'!T7</f>
        <v>2041422.3447366436</v>
      </c>
      <c r="BQ7" s="161">
        <f>+'KPI - Market 1'!BR7+'KPI - Market 2'!U7</f>
        <v>1911070.5247345676</v>
      </c>
      <c r="BR7" s="775">
        <f>+'KPI - Market 1'!BS7+'KPI - Market 2'!V7</f>
        <v>1832071.0634236485</v>
      </c>
      <c r="BS7" s="161">
        <f t="shared" si="0"/>
        <v>1714532.4801334171</v>
      </c>
    </row>
    <row r="8" spans="1:71" s="1" customFormat="1" ht="11.25" x14ac:dyDescent="0.2">
      <c r="A8" s="400" t="s">
        <v>5</v>
      </c>
      <c r="B8" s="372"/>
      <c r="C8" s="2"/>
      <c r="D8" s="2"/>
      <c r="E8" s="4"/>
      <c r="F8" s="4"/>
      <c r="G8" s="5"/>
      <c r="H8" s="5"/>
      <c r="I8" s="5"/>
      <c r="J8" s="5"/>
      <c r="K8" s="69"/>
      <c r="L8" s="70"/>
      <c r="M8" s="70">
        <v>3257.9</v>
      </c>
      <c r="N8" s="71">
        <v>11232.32</v>
      </c>
      <c r="O8" s="71">
        <v>6239.4</v>
      </c>
      <c r="P8" s="70">
        <v>983.59</v>
      </c>
      <c r="Q8" s="70">
        <v>13634.32</v>
      </c>
      <c r="R8" s="71">
        <v>13926.1</v>
      </c>
      <c r="S8" s="70">
        <v>9839.41</v>
      </c>
      <c r="T8" s="70">
        <v>34407.42</v>
      </c>
      <c r="U8" s="72">
        <v>30381.03</v>
      </c>
      <c r="V8" s="95">
        <v>3912.78</v>
      </c>
      <c r="W8" s="95">
        <v>24679.88</v>
      </c>
      <c r="X8" s="95">
        <v>52758.02</v>
      </c>
      <c r="Y8" s="102">
        <v>81219.73</v>
      </c>
      <c r="Z8" s="102">
        <v>33816.74</v>
      </c>
      <c r="AA8" s="102">
        <v>20501.849999999999</v>
      </c>
      <c r="AB8" s="102">
        <v>48937.529980516098</v>
      </c>
      <c r="AC8" s="102">
        <v>56918.33</v>
      </c>
      <c r="AD8" s="102">
        <v>53496.6</v>
      </c>
      <c r="AE8" s="102">
        <v>62286.42</v>
      </c>
      <c r="AF8" s="102">
        <v>33810.51</v>
      </c>
      <c r="AG8" s="102">
        <v>72743.710000000006</v>
      </c>
      <c r="AH8" s="126">
        <v>87610.529981143802</v>
      </c>
      <c r="AI8" s="102">
        <v>54217.7</v>
      </c>
      <c r="AJ8" s="102">
        <v>76353.179999999993</v>
      </c>
      <c r="AK8" s="126">
        <v>35431.83</v>
      </c>
      <c r="AL8" s="126">
        <v>68171.289999999994</v>
      </c>
      <c r="AM8" s="126">
        <v>45252.62</v>
      </c>
      <c r="AN8" s="126">
        <v>70900.22</v>
      </c>
      <c r="AO8" s="102">
        <v>68128.960000000006</v>
      </c>
      <c r="AP8" s="126">
        <v>96229.39</v>
      </c>
      <c r="AQ8" s="151">
        <v>66144.38</v>
      </c>
      <c r="AR8" s="161">
        <v>50579.219976864799</v>
      </c>
      <c r="AS8" s="169">
        <v>27553.47</v>
      </c>
      <c r="AT8" s="169">
        <v>67281.1699806955</v>
      </c>
      <c r="AU8" s="169">
        <v>120733.4</v>
      </c>
      <c r="AV8" s="161">
        <v>78884.160001333803</v>
      </c>
      <c r="AW8" s="177">
        <v>104231.92</v>
      </c>
      <c r="AX8" s="161">
        <v>157796.71</v>
      </c>
      <c r="AY8" s="169">
        <v>74363.839999999997</v>
      </c>
      <c r="AZ8" s="408">
        <v>77400.41</v>
      </c>
      <c r="BA8" s="177">
        <v>77126.370000377312</v>
      </c>
      <c r="BB8" s="161">
        <v>100223.63</v>
      </c>
      <c r="BC8" s="384">
        <v>134855.38</v>
      </c>
      <c r="BD8" s="436">
        <v>131093.23000000001</v>
      </c>
      <c r="BE8" s="436">
        <v>80323.790063133463</v>
      </c>
      <c r="BF8" s="436">
        <v>39836.480000000003</v>
      </c>
      <c r="BG8" s="436">
        <v>95496.679987834767</v>
      </c>
      <c r="BH8" s="436">
        <f>+'KPI - Market 1'!BI8+'KPI - Market 2'!L8</f>
        <v>171285.96007969973</v>
      </c>
      <c r="BI8" s="161">
        <v>99829.849987197682</v>
      </c>
      <c r="BJ8" s="161">
        <f>'KPI - Market 1'!BK8+'KPI - Market 2'!N8</f>
        <v>611332.20090957545</v>
      </c>
      <c r="BK8" s="161">
        <f>'KPI - Market 1'!BL8+'KPI - Market 2'!O8</f>
        <v>212892.4004305228</v>
      </c>
      <c r="BL8" s="161">
        <f>'KPI - Market 1'!BM8+'KPI - Market 2'!P8</f>
        <v>152519.65020167833</v>
      </c>
      <c r="BM8" s="161">
        <f>+'KPI - Market 1'!BN8+'KPI - Market 2'!Q8</f>
        <v>372459.03395254718</v>
      </c>
      <c r="BN8" s="161">
        <f>+'KPI - Market 1'!BO8+'KPI - Market 2'!R8</f>
        <v>274108.8807419762</v>
      </c>
      <c r="BO8" s="161">
        <f>+'KPI - Market 1'!BP8+'KPI - Market 2'!S8</f>
        <v>315482.73099696654</v>
      </c>
      <c r="BP8" s="408">
        <f>+'KPI - Market 1'!BQ8+'KPI - Market 2'!T8</f>
        <v>280418.48023116589</v>
      </c>
      <c r="BQ8" s="161">
        <f>+'KPI - Market 1'!BR8+'KPI - Market 2'!U8</f>
        <v>222716.1003271938</v>
      </c>
      <c r="BR8" s="775">
        <f>+'KPI - Market 1'!BS8+'KPI - Market 2'!V8</f>
        <v>212168.72051131719</v>
      </c>
      <c r="BS8" s="161">
        <f t="shared" si="0"/>
        <v>251725.89069647295</v>
      </c>
    </row>
    <row r="9" spans="1:71" s="1" customFormat="1" ht="11.25" x14ac:dyDescent="0.2">
      <c r="A9" s="400" t="s">
        <v>6</v>
      </c>
      <c r="B9" s="372"/>
      <c r="C9" s="2"/>
      <c r="D9" s="2"/>
      <c r="E9" s="4"/>
      <c r="F9" s="4"/>
      <c r="G9" s="5"/>
      <c r="H9" s="5"/>
      <c r="I9" s="5"/>
      <c r="J9" s="5"/>
      <c r="K9" s="69"/>
      <c r="L9" s="70"/>
      <c r="M9" s="70">
        <f t="shared" ref="M9:AO9" si="1">SUM(M6:M7)-M8</f>
        <v>363023.22</v>
      </c>
      <c r="N9" s="71">
        <f t="shared" si="1"/>
        <v>427506.67</v>
      </c>
      <c r="O9" s="71">
        <f t="shared" si="1"/>
        <v>454083.32999999996</v>
      </c>
      <c r="P9" s="70">
        <f t="shared" si="1"/>
        <v>544011.56999999995</v>
      </c>
      <c r="Q9" s="70">
        <f t="shared" si="1"/>
        <v>562354.10000000009</v>
      </c>
      <c r="R9" s="71">
        <f t="shared" si="1"/>
        <v>824023.9800000001</v>
      </c>
      <c r="S9" s="70">
        <f t="shared" si="1"/>
        <v>1074613.52</v>
      </c>
      <c r="T9" s="70">
        <f t="shared" si="1"/>
        <v>943988.73</v>
      </c>
      <c r="U9" s="72">
        <f t="shared" si="1"/>
        <v>1147749.8400000001</v>
      </c>
      <c r="V9" s="95">
        <f t="shared" si="1"/>
        <v>1206046.5</v>
      </c>
      <c r="W9" s="95">
        <f t="shared" si="1"/>
        <v>1175267.9100000001</v>
      </c>
      <c r="X9" s="95">
        <f t="shared" si="1"/>
        <v>1120192.9100000001</v>
      </c>
      <c r="Y9" s="102">
        <f t="shared" si="1"/>
        <v>1150765.06</v>
      </c>
      <c r="Z9" s="102">
        <f t="shared" si="1"/>
        <v>1202327.3499999999</v>
      </c>
      <c r="AA9" s="102">
        <f t="shared" si="1"/>
        <v>1308619.98</v>
      </c>
      <c r="AB9" s="102">
        <f t="shared" si="1"/>
        <v>1355243.110112635</v>
      </c>
      <c r="AC9" s="102">
        <f t="shared" si="1"/>
        <v>1348683.66</v>
      </c>
      <c r="AD9" s="102">
        <f t="shared" si="1"/>
        <v>1752537.1605107079</v>
      </c>
      <c r="AE9" s="102">
        <f t="shared" si="1"/>
        <v>2106259.8000000003</v>
      </c>
      <c r="AF9" s="102">
        <f t="shared" si="1"/>
        <v>1595579.22</v>
      </c>
      <c r="AG9" s="102">
        <f t="shared" si="1"/>
        <v>1756880.33</v>
      </c>
      <c r="AH9" s="126">
        <f t="shared" si="1"/>
        <v>1729567.2696412953</v>
      </c>
      <c r="AI9" s="102">
        <f t="shared" si="1"/>
        <v>1554378.1</v>
      </c>
      <c r="AJ9" s="102">
        <f t="shared" si="1"/>
        <v>1649597.59</v>
      </c>
      <c r="AK9" s="126">
        <f t="shared" si="1"/>
        <v>1709070.93</v>
      </c>
      <c r="AL9" s="126">
        <f t="shared" si="1"/>
        <v>1584361.73</v>
      </c>
      <c r="AM9" s="126">
        <f t="shared" si="1"/>
        <v>1823440.1199999999</v>
      </c>
      <c r="AN9" s="126">
        <f t="shared" si="1"/>
        <v>1646549.4000000001</v>
      </c>
      <c r="AO9" s="102">
        <f t="shared" si="1"/>
        <v>1857643.1500000001</v>
      </c>
      <c r="AP9" s="126">
        <f t="shared" ref="AP9:AX9" si="2">SUM(AP6:AP7)-AP8</f>
        <v>2026946.3800000001</v>
      </c>
      <c r="AQ9" s="151">
        <f t="shared" si="2"/>
        <v>2157638.1800000002</v>
      </c>
      <c r="AR9" s="161">
        <f t="shared" si="2"/>
        <v>2599130.0190906753</v>
      </c>
      <c r="AS9" s="169">
        <f t="shared" si="2"/>
        <v>2158432.7799999998</v>
      </c>
      <c r="AT9" s="169">
        <f t="shared" si="2"/>
        <v>2451044.8096774644</v>
      </c>
      <c r="AU9" s="169">
        <f t="shared" si="2"/>
        <v>2243355.65</v>
      </c>
      <c r="AV9" s="161">
        <f t="shared" si="2"/>
        <v>2587660.2307356959</v>
      </c>
      <c r="AW9" s="177">
        <f t="shared" si="2"/>
        <v>2273317.2300000004</v>
      </c>
      <c r="AX9" s="161">
        <f t="shared" si="2"/>
        <v>2679274.62</v>
      </c>
      <c r="AY9" s="169">
        <v>2304019.88</v>
      </c>
      <c r="AZ9" s="408">
        <f t="shared" ref="AZ9:BB9" si="3">SUM(AZ6:AZ7)-AZ8</f>
        <v>2647693.0300982427</v>
      </c>
      <c r="BA9" s="177">
        <f t="shared" si="3"/>
        <v>2567473.580150065</v>
      </c>
      <c r="BB9" s="161">
        <f t="shared" si="3"/>
        <v>2830064.45</v>
      </c>
      <c r="BC9" s="384">
        <f t="shared" ref="BC9:BM9" si="4">SUM(BC6:BC7)-BC8</f>
        <v>2951788.19</v>
      </c>
      <c r="BD9" s="436">
        <f t="shared" si="4"/>
        <v>2996216</v>
      </c>
      <c r="BE9" s="436">
        <f t="shared" si="4"/>
        <v>3351553.1399038611</v>
      </c>
      <c r="BF9" s="436">
        <f t="shared" si="4"/>
        <v>3808291.9899999998</v>
      </c>
      <c r="BG9" s="436">
        <f t="shared" si="4"/>
        <v>3945685.6854125997</v>
      </c>
      <c r="BH9" s="436">
        <f t="shared" ref="BH9" si="5">SUM(BH6:BH7)-BH8</f>
        <v>3629694.7965724114</v>
      </c>
      <c r="BI9" s="161">
        <f t="shared" si="4"/>
        <v>3429329.1465967316</v>
      </c>
      <c r="BJ9" s="161">
        <f t="shared" si="4"/>
        <v>2787781.5637772717</v>
      </c>
      <c r="BK9" s="161">
        <f t="shared" si="4"/>
        <v>3312784.730319181</v>
      </c>
      <c r="BL9" s="161">
        <f t="shared" si="4"/>
        <v>3504543.1013334747</v>
      </c>
      <c r="BM9" s="161">
        <f t="shared" si="4"/>
        <v>3186254.1383327683</v>
      </c>
      <c r="BN9" s="161">
        <f t="shared" ref="BN9:BR9" si="6">SUM(BN6:BN7)-BN8</f>
        <v>3467503.8643726469</v>
      </c>
      <c r="BO9" s="161">
        <f t="shared" si="6"/>
        <v>3751154.0862345099</v>
      </c>
      <c r="BP9" s="408">
        <f t="shared" si="6"/>
        <v>3860957.9057021998</v>
      </c>
      <c r="BQ9" s="161">
        <f t="shared" si="6"/>
        <v>4036465.3449192634</v>
      </c>
      <c r="BR9" s="775">
        <f t="shared" si="6"/>
        <v>3492153.5745604928</v>
      </c>
      <c r="BS9" s="161">
        <f t="shared" si="0"/>
        <v>3533692.3281777962</v>
      </c>
    </row>
    <row r="10" spans="1:71" s="1" customFormat="1" ht="11.25" x14ac:dyDescent="0.2">
      <c r="A10" s="400" t="s">
        <v>7</v>
      </c>
      <c r="B10" s="372">
        <v>369.9</v>
      </c>
      <c r="C10" s="2">
        <v>5103.4199686050397</v>
      </c>
      <c r="D10" s="2">
        <v>9176.09</v>
      </c>
      <c r="E10" s="4">
        <v>10653.48</v>
      </c>
      <c r="F10" s="4">
        <v>19848.96</v>
      </c>
      <c r="G10" s="5">
        <v>39455.360000000001</v>
      </c>
      <c r="H10" s="5">
        <v>49947.22</v>
      </c>
      <c r="I10" s="5">
        <v>48482.05</v>
      </c>
      <c r="J10" s="5">
        <v>103038.32</v>
      </c>
      <c r="K10" s="69">
        <v>85145.65</v>
      </c>
      <c r="L10" s="70">
        <v>103098.2</v>
      </c>
      <c r="M10" s="70">
        <v>124774.18</v>
      </c>
      <c r="N10" s="71">
        <v>129500.45</v>
      </c>
      <c r="O10" s="71">
        <v>144387.81</v>
      </c>
      <c r="P10" s="70">
        <v>208196.13</v>
      </c>
      <c r="Q10" s="70">
        <v>220947.1</v>
      </c>
      <c r="R10" s="71">
        <v>290453.40000000002</v>
      </c>
      <c r="S10" s="70">
        <v>367795.41</v>
      </c>
      <c r="T10" s="70">
        <v>384798.53</v>
      </c>
      <c r="U10" s="72">
        <v>542550.26</v>
      </c>
      <c r="V10" s="95">
        <v>536672.05000000005</v>
      </c>
      <c r="W10" s="95">
        <v>519462.33</v>
      </c>
      <c r="X10" s="95">
        <v>471634.59</v>
      </c>
      <c r="Y10" s="102">
        <v>538591.14</v>
      </c>
      <c r="Z10" s="102">
        <v>493330.29</v>
      </c>
      <c r="AA10" s="102">
        <v>650529.71</v>
      </c>
      <c r="AB10" s="102">
        <v>682247.88041588303</v>
      </c>
      <c r="AC10" s="102">
        <v>657027.9</v>
      </c>
      <c r="AD10" s="102">
        <v>897678.97066686896</v>
      </c>
      <c r="AE10" s="102">
        <v>1141205.78</v>
      </c>
      <c r="AF10" s="102">
        <v>822252.72</v>
      </c>
      <c r="AG10" s="102">
        <v>986885.22</v>
      </c>
      <c r="AH10" s="126">
        <v>879176.45029898698</v>
      </c>
      <c r="AI10" s="102">
        <v>717233.38</v>
      </c>
      <c r="AJ10" s="102">
        <v>910751.78</v>
      </c>
      <c r="AK10" s="126">
        <v>851813.6</v>
      </c>
      <c r="AL10" s="126">
        <v>738220.89</v>
      </c>
      <c r="AM10" s="126">
        <v>790477.84</v>
      </c>
      <c r="AN10" s="126">
        <v>754492.36</v>
      </c>
      <c r="AO10" s="102">
        <v>882089.09</v>
      </c>
      <c r="AP10" s="126">
        <v>901589.09</v>
      </c>
      <c r="AQ10" s="151">
        <v>896316.78</v>
      </c>
      <c r="AR10" s="161">
        <v>1389972.4506548401</v>
      </c>
      <c r="AS10" s="169">
        <v>935778.56</v>
      </c>
      <c r="AT10" s="169">
        <v>1119010.8201043401</v>
      </c>
      <c r="AU10" s="169">
        <v>1126097.77</v>
      </c>
      <c r="AV10" s="161">
        <v>1293824.41894476</v>
      </c>
      <c r="AW10" s="177">
        <v>1149419.3700000001</v>
      </c>
      <c r="AX10" s="161">
        <v>1287540.83</v>
      </c>
      <c r="AY10" s="169">
        <v>1158363.25</v>
      </c>
      <c r="AZ10" s="408">
        <v>1377206.170085144</v>
      </c>
      <c r="BA10" s="177">
        <v>1309875.7692100075</v>
      </c>
      <c r="BB10" s="161">
        <v>1488797.5099999998</v>
      </c>
      <c r="BC10" s="384">
        <v>1434063.48</v>
      </c>
      <c r="BD10" s="436">
        <v>1438531.23</v>
      </c>
      <c r="BE10" s="436">
        <v>1599825.7904739862</v>
      </c>
      <c r="BF10" s="436">
        <v>2037631.31</v>
      </c>
      <c r="BG10" s="436">
        <v>1746081.4500000002</v>
      </c>
      <c r="BH10" s="436">
        <f>+'KPI - Market 1'!BI10+'KPI - Market 2'!L10</f>
        <v>2271712.2883130722</v>
      </c>
      <c r="BI10" s="161">
        <v>1977366.719259236</v>
      </c>
      <c r="BJ10" s="161">
        <f>'KPI - Market 1'!BK10+'KPI - Market 2'!N10</f>
        <v>1670829.8079119325</v>
      </c>
      <c r="BK10" s="161">
        <f>'KPI - Market 1'!BL10+'KPI - Market 2'!O10</f>
        <v>1851383.3107025097</v>
      </c>
      <c r="BL10" s="161">
        <f>'KPI - Market 1'!BM10+'KPI - Market 2'!P10</f>
        <v>2390572.9683902739</v>
      </c>
      <c r="BM10" s="161">
        <f>+'KPI - Market 1'!BN10+'KPI - Market 2'!Q10</f>
        <v>2514260.4589733458</v>
      </c>
      <c r="BN10" s="161">
        <f>+'KPI - Market 1'!BO10+'KPI - Market 2'!R10</f>
        <v>2404394.9068615153</v>
      </c>
      <c r="BO10" s="161">
        <f>+'KPI - Market 1'!BP10+'KPI - Market 2'!S10</f>
        <v>2324346.7675578753</v>
      </c>
      <c r="BP10" s="408">
        <f>+'KPI - Market 1'!BQ10+'KPI - Market 2'!T10</f>
        <v>2428637.4473985843</v>
      </c>
      <c r="BQ10" s="161">
        <f>+'KPI - Market 1'!BR10+'KPI - Market 2'!U10</f>
        <v>2632270.6276761275</v>
      </c>
      <c r="BR10" s="775">
        <f>+'KPI - Market 1'!BS10+'KPI - Market 2'!V10</f>
        <v>2044166.1365921409</v>
      </c>
      <c r="BS10" s="161">
        <f t="shared" si="0"/>
        <v>2188001.9074697178</v>
      </c>
    </row>
    <row r="11" spans="1:71" s="1" customFormat="1" ht="11.25" x14ac:dyDescent="0.2">
      <c r="A11" s="400" t="s">
        <v>8</v>
      </c>
      <c r="B11" s="372">
        <v>120</v>
      </c>
      <c r="C11" s="2">
        <v>762.81999588012695</v>
      </c>
      <c r="D11" s="2">
        <v>4537.34</v>
      </c>
      <c r="E11" s="4">
        <v>10674.91</v>
      </c>
      <c r="F11" s="4">
        <v>14820.9</v>
      </c>
      <c r="G11" s="5">
        <v>30162.5</v>
      </c>
      <c r="H11" s="5">
        <v>24574.1</v>
      </c>
      <c r="I11" s="5">
        <v>28414.16</v>
      </c>
      <c r="J11" s="5">
        <v>38504.660000000003</v>
      </c>
      <c r="K11" s="69">
        <v>30254.19</v>
      </c>
      <c r="L11" s="70">
        <v>78661.990000000005</v>
      </c>
      <c r="M11" s="70">
        <v>60939.5</v>
      </c>
      <c r="N11" s="71">
        <v>52244.35</v>
      </c>
      <c r="O11" s="71">
        <v>59853.15</v>
      </c>
      <c r="P11" s="70">
        <v>153220.28</v>
      </c>
      <c r="Q11" s="70">
        <v>59513.89</v>
      </c>
      <c r="R11" s="71">
        <v>138064.13</v>
      </c>
      <c r="S11" s="70">
        <v>142415.46</v>
      </c>
      <c r="T11" s="70">
        <v>179196.88</v>
      </c>
      <c r="U11" s="72">
        <v>72898.600000000006</v>
      </c>
      <c r="V11" s="95">
        <v>34517.61</v>
      </c>
      <c r="W11" s="95">
        <v>52163.61</v>
      </c>
      <c r="X11" s="95">
        <v>60389.14</v>
      </c>
      <c r="Y11" s="102">
        <v>28304.87</v>
      </c>
      <c r="Z11" s="102">
        <v>189616.86</v>
      </c>
      <c r="AA11" s="102">
        <v>2827.95</v>
      </c>
      <c r="AB11" s="102">
        <v>15291.219995900999</v>
      </c>
      <c r="AC11" s="102">
        <v>2771.07</v>
      </c>
      <c r="AD11" s="102">
        <v>5748.29</v>
      </c>
      <c r="AE11" s="102">
        <v>15281.39</v>
      </c>
      <c r="AF11" s="102">
        <v>14329.1</v>
      </c>
      <c r="AG11" s="102">
        <v>36057.980000000003</v>
      </c>
      <c r="AH11" s="126">
        <v>33169.860002288602</v>
      </c>
      <c r="AI11" s="102">
        <v>35820.99</v>
      </c>
      <c r="AJ11" s="102">
        <v>42120.88</v>
      </c>
      <c r="AK11" s="126">
        <v>40361.360000000001</v>
      </c>
      <c r="AL11" s="126">
        <v>52731.24</v>
      </c>
      <c r="AM11" s="126">
        <v>47043.41</v>
      </c>
      <c r="AN11" s="126">
        <v>38022.19</v>
      </c>
      <c r="AO11" s="102">
        <v>28255.64</v>
      </c>
      <c r="AP11" s="126">
        <v>23515.97</v>
      </c>
      <c r="AQ11" s="151">
        <v>34827.22</v>
      </c>
      <c r="AR11" s="161">
        <v>64993.079933643297</v>
      </c>
      <c r="AS11" s="169">
        <v>27473.73</v>
      </c>
      <c r="AT11" s="169">
        <v>112215.449923525</v>
      </c>
      <c r="AU11" s="169">
        <v>106606.63</v>
      </c>
      <c r="AV11" s="161">
        <v>60105.020020294898</v>
      </c>
      <c r="AW11" s="177">
        <v>52306.27</v>
      </c>
      <c r="AX11" s="161">
        <v>89605.93</v>
      </c>
      <c r="AY11" s="169">
        <v>57576.9700181484</v>
      </c>
      <c r="AZ11" s="408">
        <v>319319.62999877927</v>
      </c>
      <c r="BA11" s="177">
        <v>38099.629981288686</v>
      </c>
      <c r="BB11" s="161">
        <v>52803.399999999994</v>
      </c>
      <c r="BC11" s="384">
        <v>44155.590000000004</v>
      </c>
      <c r="BD11" s="436">
        <v>60999.69</v>
      </c>
      <c r="BE11" s="436">
        <v>53991.800042495131</v>
      </c>
      <c r="BF11" s="436">
        <v>29517.32</v>
      </c>
      <c r="BG11" s="436">
        <v>1709227.27</v>
      </c>
      <c r="BH11" s="436">
        <f>+'KPI - Market 1'!BI11+'KPI - Market 2'!L11</f>
        <v>127647.76999119707</v>
      </c>
      <c r="BI11" s="161">
        <v>14271.500047430385</v>
      </c>
      <c r="BJ11" s="161">
        <f>'KPI - Market 1'!BK11+'KPI - Market 2'!N11</f>
        <v>20083.529987826947</v>
      </c>
      <c r="BK11" s="161">
        <f>'KPI - Market 1'!BL11+'KPI - Market 2'!O11</f>
        <v>174311.09006267035</v>
      </c>
      <c r="BL11" s="161">
        <f>'KPI - Market 1'!BM11+'KPI - Market 2'!P11</f>
        <v>-691.58000145479673</v>
      </c>
      <c r="BM11" s="161">
        <f>+'KPI - Market 1'!BN11+'KPI - Market 2'!Q11</f>
        <v>333219.26977431576</v>
      </c>
      <c r="BN11" s="161">
        <f>+'KPI - Market 1'!BO11+'KPI - Market 2'!R11</f>
        <v>150934.04993030996</v>
      </c>
      <c r="BO11" s="161">
        <f>+'KPI - Market 1'!BP11+'KPI - Market 2'!S11</f>
        <v>111524.40986717121</v>
      </c>
      <c r="BP11" s="408">
        <f>+'KPI - Market 1'!BQ11+'KPI - Market 2'!T11</f>
        <v>104577.91006319599</v>
      </c>
      <c r="BQ11" s="161">
        <f>+'KPI - Market 1'!BR11+'KPI - Market 2'!U11</f>
        <v>130752.22999812289</v>
      </c>
      <c r="BR11" s="775">
        <f>+'KPI - Market 1'!BS11+'KPI - Market 2'!V11</f>
        <v>116348.71002512424</v>
      </c>
      <c r="BS11" s="161">
        <f t="shared" si="0"/>
        <v>249350.51331215919</v>
      </c>
    </row>
    <row r="12" spans="1:71" s="1" customFormat="1" ht="11.25" x14ac:dyDescent="0.2">
      <c r="A12" s="400" t="s">
        <v>9</v>
      </c>
      <c r="B12" s="373">
        <v>162</v>
      </c>
      <c r="C12" s="6">
        <v>260</v>
      </c>
      <c r="D12" s="6">
        <v>371</v>
      </c>
      <c r="E12" s="7">
        <v>591</v>
      </c>
      <c r="F12" s="7">
        <v>830</v>
      </c>
      <c r="G12" s="8">
        <v>1030</v>
      </c>
      <c r="H12" s="8">
        <v>1363</v>
      </c>
      <c r="I12" s="8">
        <v>2130</v>
      </c>
      <c r="J12" s="8">
        <v>2381</v>
      </c>
      <c r="K12" s="73">
        <v>2904</v>
      </c>
      <c r="L12" s="74">
        <v>3200</v>
      </c>
      <c r="M12" s="74">
        <v>3330</v>
      </c>
      <c r="N12" s="75">
        <v>4788</v>
      </c>
      <c r="O12" s="75">
        <v>5112</v>
      </c>
      <c r="P12" s="74">
        <v>6592</v>
      </c>
      <c r="Q12" s="74">
        <v>6722</v>
      </c>
      <c r="R12" s="75">
        <v>8308</v>
      </c>
      <c r="S12" s="74">
        <v>13465</v>
      </c>
      <c r="T12" s="74">
        <v>8676</v>
      </c>
      <c r="U12" s="76">
        <v>9581</v>
      </c>
      <c r="V12" s="96">
        <v>9452</v>
      </c>
      <c r="W12" s="96">
        <v>10075</v>
      </c>
      <c r="X12" s="96">
        <v>9188</v>
      </c>
      <c r="Y12" s="103">
        <v>10173</v>
      </c>
      <c r="Z12" s="103">
        <v>12899</v>
      </c>
      <c r="AA12" s="103">
        <v>11816</v>
      </c>
      <c r="AB12" s="103">
        <v>13532</v>
      </c>
      <c r="AC12" s="103">
        <v>13926</v>
      </c>
      <c r="AD12" s="103">
        <v>16770</v>
      </c>
      <c r="AE12" s="103">
        <v>17237</v>
      </c>
      <c r="AF12" s="103">
        <v>12563</v>
      </c>
      <c r="AG12" s="103">
        <v>15053</v>
      </c>
      <c r="AH12" s="127">
        <v>14721</v>
      </c>
      <c r="AI12" s="103">
        <v>15867</v>
      </c>
      <c r="AJ12" s="103">
        <v>15315</v>
      </c>
      <c r="AK12" s="127">
        <v>13191</v>
      </c>
      <c r="AL12" s="127">
        <v>16460</v>
      </c>
      <c r="AM12" s="127">
        <v>18073</v>
      </c>
      <c r="AN12" s="127">
        <v>15467</v>
      </c>
      <c r="AO12" s="103">
        <v>17600</v>
      </c>
      <c r="AP12" s="127">
        <v>18413</v>
      </c>
      <c r="AQ12" s="152">
        <v>19060</v>
      </c>
      <c r="AR12" s="162">
        <v>20523</v>
      </c>
      <c r="AS12" s="170">
        <v>18620</v>
      </c>
      <c r="AT12" s="170">
        <v>21805</v>
      </c>
      <c r="AU12" s="170">
        <v>20276</v>
      </c>
      <c r="AV12" s="162">
        <v>20714</v>
      </c>
      <c r="AW12" s="178">
        <v>19114</v>
      </c>
      <c r="AX12" s="162">
        <v>27632</v>
      </c>
      <c r="AY12" s="170">
        <v>23591</v>
      </c>
      <c r="AZ12" s="409">
        <v>23982</v>
      </c>
      <c r="BA12" s="178">
        <v>24673</v>
      </c>
      <c r="BB12" s="162">
        <v>24546</v>
      </c>
      <c r="BC12" s="385">
        <v>26297</v>
      </c>
      <c r="BD12" s="437">
        <v>26840</v>
      </c>
      <c r="BE12" s="437">
        <v>30375</v>
      </c>
      <c r="BF12" s="695">
        <v>27384</v>
      </c>
      <c r="BG12" s="695">
        <v>30960</v>
      </c>
      <c r="BH12" s="695">
        <f>+'KPI - Market 1'!BI12+'KPI - Market 2'!L12</f>
        <v>25472</v>
      </c>
      <c r="BI12" s="769">
        <v>27062</v>
      </c>
      <c r="BJ12" s="769">
        <f>'KPI - Market 1'!BK12+'KPI - Market 2'!N12</f>
        <v>30021</v>
      </c>
      <c r="BK12" s="769">
        <f>'KPI - Market 1'!BL12+'KPI - Market 2'!O12</f>
        <v>27861</v>
      </c>
      <c r="BL12" s="769">
        <f>'KPI - Market 1'!BM12+'KPI - Market 2'!P12</f>
        <v>29380</v>
      </c>
      <c r="BM12" s="769">
        <f>+'KPI - Market 1'!BN12+'KPI - Market 2'!Q12</f>
        <v>27384</v>
      </c>
      <c r="BN12" s="769">
        <f>+'KPI - Market 1'!BO12+'KPI - Market 2'!R12</f>
        <v>26200</v>
      </c>
      <c r="BO12" s="769">
        <f>+'KPI - Market 1'!BP12+'KPI - Market 2'!S12</f>
        <v>32022</v>
      </c>
      <c r="BP12" s="818">
        <f>+'KPI - Market 1'!BQ12+'KPI - Market 2'!T12</f>
        <v>31701</v>
      </c>
      <c r="BQ12" s="769">
        <f>+'KPI - Market 1'!BR12+'KPI - Market 2'!U12</f>
        <v>30069</v>
      </c>
      <c r="BR12" s="776">
        <f>+'KPI - Market 1'!BS12+'KPI - Market 2'!V12</f>
        <v>30694</v>
      </c>
      <c r="BS12" s="769">
        <f t="shared" si="0"/>
        <v>29068.833333333332</v>
      </c>
    </row>
    <row r="13" spans="1:71" s="1" customFormat="1" ht="11.25" x14ac:dyDescent="0.2">
      <c r="A13" s="400" t="s">
        <v>156</v>
      </c>
      <c r="B13" s="374">
        <f t="shared" ref="B13:AA13" si="7">(B4+B5)/B12</f>
        <v>160.06043209876543</v>
      </c>
      <c r="C13" s="9">
        <f t="shared" si="7"/>
        <v>216.84230769230768</v>
      </c>
      <c r="D13" s="9">
        <f t="shared" si="7"/>
        <v>174.85781671159029</v>
      </c>
      <c r="E13" s="5">
        <f t="shared" si="7"/>
        <v>197.97250423011843</v>
      </c>
      <c r="F13" s="5">
        <f t="shared" si="7"/>
        <v>189.23319277108433</v>
      </c>
      <c r="G13" s="5">
        <f t="shared" si="7"/>
        <v>193.91844660194175</v>
      </c>
      <c r="H13" s="5">
        <f t="shared" si="7"/>
        <v>185.87949376375641</v>
      </c>
      <c r="I13" s="5">
        <f t="shared" si="7"/>
        <v>189.4487323943662</v>
      </c>
      <c r="J13" s="5">
        <f t="shared" si="7"/>
        <v>188.45159596808062</v>
      </c>
      <c r="K13" s="77">
        <f t="shared" si="7"/>
        <v>186.51868112947659</v>
      </c>
      <c r="L13" s="78">
        <f t="shared" si="7"/>
        <v>178.70971250000002</v>
      </c>
      <c r="M13" s="78">
        <f t="shared" si="7"/>
        <v>172.76873273273273</v>
      </c>
      <c r="N13" s="79">
        <f t="shared" si="7"/>
        <v>140.25981620718463</v>
      </c>
      <c r="O13" s="79">
        <f t="shared" si="7"/>
        <v>164.94408255086071</v>
      </c>
      <c r="P13" s="78">
        <f t="shared" si="7"/>
        <v>153.92224514563105</v>
      </c>
      <c r="Q13" s="78">
        <f t="shared" si="7"/>
        <v>169.92257810175539</v>
      </c>
      <c r="R13" s="79">
        <f t="shared" si="7"/>
        <v>213.98027563793931</v>
      </c>
      <c r="S13" s="78">
        <f t="shared" si="7"/>
        <v>159.56191904938728</v>
      </c>
      <c r="T13" s="78">
        <f t="shared" si="7"/>
        <v>181.61784347625633</v>
      </c>
      <c r="U13" s="80">
        <f t="shared" si="7"/>
        <v>180.17731447656823</v>
      </c>
      <c r="V13" s="97">
        <f t="shared" si="7"/>
        <v>177.78384786288615</v>
      </c>
      <c r="W13" s="97">
        <f t="shared" si="7"/>
        <v>176.34272555831265</v>
      </c>
      <c r="X13" s="97">
        <f t="shared" si="7"/>
        <v>170.30919024814978</v>
      </c>
      <c r="Y13" s="104">
        <f t="shared" si="7"/>
        <v>171.62328713260592</v>
      </c>
      <c r="Z13" s="104">
        <f t="shared" si="7"/>
        <v>141.48174354601133</v>
      </c>
      <c r="AA13" s="104">
        <f t="shared" si="7"/>
        <v>173.46336238997969</v>
      </c>
      <c r="AB13" s="104">
        <f t="shared" ref="AB13:AG13" si="8">(AB4+AB5)/AB12</f>
        <v>172.10864026011825</v>
      </c>
      <c r="AC13" s="104">
        <f t="shared" si="8"/>
        <v>176.15251759299153</v>
      </c>
      <c r="AD13" s="104">
        <f t="shared" si="8"/>
        <v>191.87838342276982</v>
      </c>
      <c r="AE13" s="104">
        <f t="shared" si="8"/>
        <v>189.28368393571967</v>
      </c>
      <c r="AF13" s="104">
        <f t="shared" si="8"/>
        <v>192.24749661705005</v>
      </c>
      <c r="AG13" s="104">
        <f t="shared" si="8"/>
        <v>183.15768086095792</v>
      </c>
      <c r="AH13" s="128">
        <f t="shared" ref="AH13:AN13" si="9">(AH4+AH5)/AH12</f>
        <v>187.87734800624006</v>
      </c>
      <c r="AI13" s="104">
        <f t="shared" si="9"/>
        <v>186.11463792777462</v>
      </c>
      <c r="AJ13" s="104">
        <f t="shared" si="9"/>
        <v>184.10950701926217</v>
      </c>
      <c r="AK13" s="128">
        <f t="shared" si="9"/>
        <v>178.59016298991736</v>
      </c>
      <c r="AL13" s="128">
        <f t="shared" si="9"/>
        <v>155.99369198055894</v>
      </c>
      <c r="AM13" s="128">
        <f t="shared" si="9"/>
        <v>156.86244563713831</v>
      </c>
      <c r="AN13" s="128">
        <f t="shared" si="9"/>
        <v>171.03118962953386</v>
      </c>
      <c r="AO13" s="104">
        <f t="shared" ref="AO13:AT13" si="10">(AO4+AO5)/AO12</f>
        <v>172.56497386363637</v>
      </c>
      <c r="AP13" s="128">
        <f t="shared" si="10"/>
        <v>187.26686417205235</v>
      </c>
      <c r="AQ13" s="153">
        <f t="shared" si="10"/>
        <v>191.05696222455401</v>
      </c>
      <c r="AR13" s="163">
        <f t="shared" si="10"/>
        <v>187.0449563903133</v>
      </c>
      <c r="AS13" s="171">
        <f t="shared" si="10"/>
        <v>187.97877658431793</v>
      </c>
      <c r="AT13" s="171">
        <f t="shared" si="10"/>
        <v>187.59348131174769</v>
      </c>
      <c r="AU13" s="171">
        <f t="shared" ref="AU13:AX13" si="11">(AU4+AU5)/AU12</f>
        <v>183.42757595186427</v>
      </c>
      <c r="AV13" s="163">
        <f t="shared" si="11"/>
        <v>174.47945640601245</v>
      </c>
      <c r="AW13" s="179">
        <f t="shared" si="11"/>
        <v>177.46811970283562</v>
      </c>
      <c r="AX13" s="163">
        <f t="shared" si="11"/>
        <v>156.34203821656052</v>
      </c>
      <c r="AY13" s="171">
        <v>178.87133737442244</v>
      </c>
      <c r="AZ13" s="410">
        <f t="shared" ref="AZ13:BB13" si="12">(AZ4+AZ5)/AZ12</f>
        <v>181.32410474450054</v>
      </c>
      <c r="BA13" s="179">
        <f t="shared" si="12"/>
        <v>186.07796457673237</v>
      </c>
      <c r="BB13" s="163">
        <f t="shared" si="12"/>
        <v>191.82128900839243</v>
      </c>
      <c r="BC13" s="386">
        <f t="shared" ref="BC13" si="13">(BC4+BC5)/BC12</f>
        <v>186.8339072898049</v>
      </c>
      <c r="BD13" s="438">
        <f t="shared" ref="BD13:BM13" si="14">(BD4+BD5)/BD12</f>
        <v>191.58843032786885</v>
      </c>
      <c r="BE13" s="651">
        <f t="shared" si="14"/>
        <v>187.09222125514773</v>
      </c>
      <c r="BF13" s="651">
        <f t="shared" si="14"/>
        <v>198.66830594507744</v>
      </c>
      <c r="BG13" s="651">
        <f t="shared" si="14"/>
        <v>217.17769471879433</v>
      </c>
      <c r="BH13" s="651">
        <f t="shared" ref="BH13" si="15">(BH4+BH5)/BH12</f>
        <v>205.9332483180053</v>
      </c>
      <c r="BI13" s="163">
        <f t="shared" si="14"/>
        <v>192.16505175412078</v>
      </c>
      <c r="BJ13" s="163">
        <f t="shared" si="14"/>
        <v>169.33716167411325</v>
      </c>
      <c r="BK13" s="163">
        <f t="shared" si="14"/>
        <v>190.47612434968264</v>
      </c>
      <c r="BL13" s="163">
        <f t="shared" si="14"/>
        <v>199.58770867006115</v>
      </c>
      <c r="BM13" s="163">
        <f t="shared" si="14"/>
        <v>206.79473198713097</v>
      </c>
      <c r="BN13" s="163">
        <f t="shared" ref="BN13:BR13" si="16">(BN4+BN5)/BN12</f>
        <v>217.03106186369348</v>
      </c>
      <c r="BO13" s="163">
        <f t="shared" si="16"/>
        <v>220.28534072699176</v>
      </c>
      <c r="BP13" s="410">
        <f t="shared" si="16"/>
        <v>218.2395208598804</v>
      </c>
      <c r="BQ13" s="163">
        <f t="shared" si="16"/>
        <v>215.74107854614718</v>
      </c>
      <c r="BR13" s="777">
        <f t="shared" si="16"/>
        <v>201.19032256887263</v>
      </c>
      <c r="BS13" s="163">
        <f t="shared" si="0"/>
        <v>204.49658716979116</v>
      </c>
    </row>
    <row r="14" spans="1:71" s="1" customFormat="1" ht="11.25" x14ac:dyDescent="0.2">
      <c r="A14" s="400" t="s">
        <v>157</v>
      </c>
      <c r="B14" s="374"/>
      <c r="C14" s="9"/>
      <c r="D14" s="9"/>
      <c r="E14" s="5"/>
      <c r="F14" s="5"/>
      <c r="G14" s="5"/>
      <c r="H14" s="5"/>
      <c r="I14" s="5"/>
      <c r="J14" s="5"/>
      <c r="K14" s="77"/>
      <c r="L14" s="78"/>
      <c r="M14" s="78"/>
      <c r="N14" s="79"/>
      <c r="O14" s="79"/>
      <c r="P14" s="78"/>
      <c r="Q14" s="78"/>
      <c r="R14" s="79"/>
      <c r="S14" s="78"/>
      <c r="T14" s="78"/>
      <c r="U14" s="80"/>
      <c r="V14" s="97"/>
      <c r="W14" s="97"/>
      <c r="X14" s="97"/>
      <c r="Y14" s="104"/>
      <c r="Z14" s="104"/>
      <c r="AA14" s="104"/>
      <c r="AB14" s="104"/>
      <c r="AC14" s="104"/>
      <c r="AD14" s="104"/>
      <c r="AE14" s="104"/>
      <c r="AF14" s="104"/>
      <c r="AG14" s="104"/>
      <c r="AH14" s="128"/>
      <c r="AI14" s="104"/>
      <c r="AJ14" s="104"/>
      <c r="AK14" s="128"/>
      <c r="AL14" s="128"/>
      <c r="AM14" s="128"/>
      <c r="AN14" s="128"/>
      <c r="AO14" s="104"/>
      <c r="AP14" s="128"/>
      <c r="AQ14" s="153"/>
      <c r="AR14" s="163"/>
      <c r="AS14" s="171"/>
      <c r="AT14" s="171"/>
      <c r="AU14" s="171"/>
      <c r="AV14" s="163"/>
      <c r="AW14" s="179"/>
      <c r="AX14" s="163"/>
      <c r="AY14" s="171">
        <v>127.32879063972919</v>
      </c>
      <c r="AZ14" s="410">
        <f t="shared" ref="AZ14:BB14" si="17">(AZ4+AZ5-AZ10-AZ11)/AZ12</f>
        <v>110.58247351758354</v>
      </c>
      <c r="BA14" s="171">
        <f t="shared" si="17"/>
        <v>131.44434081021447</v>
      </c>
      <c r="BB14" s="410">
        <f t="shared" si="17"/>
        <v>129.01672166544449</v>
      </c>
      <c r="BC14" s="171">
        <f t="shared" ref="BC14" si="18">(BC4+BC5-BC10-BC11)/BC12</f>
        <v>130.62144693311024</v>
      </c>
      <c r="BD14" s="439">
        <f t="shared" ref="BD14:BM14" si="19">(BD4+BD5-BD10-BD11)/BD12</f>
        <v>135.71917101341282</v>
      </c>
      <c r="BE14" s="651">
        <f t="shared" si="19"/>
        <v>132.64555160851461</v>
      </c>
      <c r="BF14" s="651">
        <f t="shared" si="19"/>
        <v>123.18084501898922</v>
      </c>
      <c r="BG14" s="651">
        <f t="shared" si="19"/>
        <v>105.5721159074248</v>
      </c>
      <c r="BH14" s="651">
        <f t="shared" ref="BH14" si="20">(BH4+BH5-BH10-BH11)/BH12</f>
        <v>111.73726612955249</v>
      </c>
      <c r="BI14" s="163">
        <f t="shared" si="19"/>
        <v>118.56967006368156</v>
      </c>
      <c r="BJ14" s="163">
        <f t="shared" si="19"/>
        <v>113.01281078974031</v>
      </c>
      <c r="BK14" s="163">
        <f t="shared" si="19"/>
        <v>117.76895659672402</v>
      </c>
      <c r="BL14" s="163">
        <f t="shared" si="19"/>
        <v>118.24389014082972</v>
      </c>
      <c r="BM14" s="163">
        <f t="shared" si="19"/>
        <v>102.81139395223242</v>
      </c>
      <c r="BN14" s="163">
        <f t="shared" ref="BN14:BR14" si="21">(BN4+BN5-BN10-BN11)/BN12</f>
        <v>119.49942229148643</v>
      </c>
      <c r="BO14" s="163">
        <f t="shared" si="21"/>
        <v>144.2166636479509</v>
      </c>
      <c r="BP14" s="410">
        <f t="shared" si="21"/>
        <v>138.32988528176676</v>
      </c>
      <c r="BQ14" s="163">
        <f t="shared" si="21"/>
        <v>123.85166228108181</v>
      </c>
      <c r="BR14" s="777">
        <f t="shared" si="21"/>
        <v>130.80148935660753</v>
      </c>
      <c r="BS14" s="163">
        <f t="shared" si="0"/>
        <v>120.36793553658991</v>
      </c>
    </row>
    <row r="15" spans="1:71" s="1" customFormat="1" ht="11.25" x14ac:dyDescent="0.2">
      <c r="A15" s="400" t="s">
        <v>10</v>
      </c>
      <c r="B15" s="374">
        <f t="shared" ref="B15:AA15" si="22">(B6+B7)/B12</f>
        <v>47.995679012345683</v>
      </c>
      <c r="C15" s="9">
        <f t="shared" si="22"/>
        <v>70.799422894991352</v>
      </c>
      <c r="D15" s="9">
        <f t="shared" si="22"/>
        <v>69.096469002695414</v>
      </c>
      <c r="E15" s="5">
        <f t="shared" si="22"/>
        <v>71.321573604060916</v>
      </c>
      <c r="F15" s="5">
        <f t="shared" si="22"/>
        <v>85.808373493975907</v>
      </c>
      <c r="G15" s="5">
        <f t="shared" si="22"/>
        <v>96.366873786407766</v>
      </c>
      <c r="H15" s="5">
        <f t="shared" si="22"/>
        <v>114.37371239911958</v>
      </c>
      <c r="I15" s="5">
        <f t="shared" si="22"/>
        <v>94.039981220657268</v>
      </c>
      <c r="J15" s="5">
        <f t="shared" si="22"/>
        <v>120.9139689206216</v>
      </c>
      <c r="K15" s="77">
        <f t="shared" si="22"/>
        <v>102.92339876033057</v>
      </c>
      <c r="L15" s="78">
        <f t="shared" si="22"/>
        <v>102.04296249999999</v>
      </c>
      <c r="M15" s="78">
        <f t="shared" si="22"/>
        <v>109.99433033033033</v>
      </c>
      <c r="N15" s="79">
        <f t="shared" si="22"/>
        <v>91.633038847117788</v>
      </c>
      <c r="O15" s="79">
        <f t="shared" si="22"/>
        <v>90.047482394366199</v>
      </c>
      <c r="P15" s="78">
        <f t="shared" si="22"/>
        <v>82.675236650485431</v>
      </c>
      <c r="Q15" s="78">
        <f t="shared" si="22"/>
        <v>85.687060398690875</v>
      </c>
      <c r="R15" s="79">
        <f t="shared" si="22"/>
        <v>100.86062590274435</v>
      </c>
      <c r="S15" s="78">
        <f t="shared" si="22"/>
        <v>80.53865057556628</v>
      </c>
      <c r="T15" s="78">
        <f t="shared" si="22"/>
        <v>112.770418395574</v>
      </c>
      <c r="U15" s="80">
        <f t="shared" si="22"/>
        <v>122.96533451623004</v>
      </c>
      <c r="V15" s="97">
        <f t="shared" si="22"/>
        <v>128.01092678798139</v>
      </c>
      <c r="W15" s="97">
        <f t="shared" si="22"/>
        <v>119.10151761786601</v>
      </c>
      <c r="X15" s="97">
        <f t="shared" si="22"/>
        <v>127.66118088811496</v>
      </c>
      <c r="Y15" s="104">
        <f t="shared" si="22"/>
        <v>121.10339034699696</v>
      </c>
      <c r="Z15" s="104">
        <f t="shared" si="22"/>
        <v>95.832552135824471</v>
      </c>
      <c r="AA15" s="104">
        <f t="shared" si="22"/>
        <v>112.48492129316182</v>
      </c>
      <c r="AB15" s="104">
        <f t="shared" ref="AB15:AG15" si="23">(AB6+AB7)/AB12</f>
        <v>103.76741354516339</v>
      </c>
      <c r="AC15" s="104">
        <f t="shared" si="23"/>
        <v>100.93364857101824</v>
      </c>
      <c r="AD15" s="104">
        <f t="shared" si="23"/>
        <v>107.69432084142564</v>
      </c>
      <c r="AE15" s="104">
        <f t="shared" si="23"/>
        <v>125.80763589951849</v>
      </c>
      <c r="AF15" s="104">
        <f t="shared" si="23"/>
        <v>129.69750298495583</v>
      </c>
      <c r="AG15" s="104">
        <f t="shared" si="23"/>
        <v>121.54547532053411</v>
      </c>
      <c r="AH15" s="128">
        <f t="shared" ref="AH15:AN15" si="24">(AH6+AH7)/AH12</f>
        <v>123.44119282809858</v>
      </c>
      <c r="AI15" s="104">
        <f t="shared" si="24"/>
        <v>101.37995840423521</v>
      </c>
      <c r="AJ15" s="104">
        <f t="shared" si="24"/>
        <v>112.69675285667647</v>
      </c>
      <c r="AK15" s="128">
        <f t="shared" si="24"/>
        <v>132.24947009324541</v>
      </c>
      <c r="AL15" s="128">
        <f t="shared" si="24"/>
        <v>100.39690279465371</v>
      </c>
      <c r="AM15" s="128">
        <f t="shared" si="24"/>
        <v>103.39693133403419</v>
      </c>
      <c r="AN15" s="128">
        <f t="shared" si="24"/>
        <v>111.03960819809919</v>
      </c>
      <c r="AO15" s="104">
        <f t="shared" ref="AO15:AT15" si="25">(AO6+AO7)/AO12</f>
        <v>109.41886988636364</v>
      </c>
      <c r="AP15" s="128">
        <f t="shared" si="25"/>
        <v>115.30851952424918</v>
      </c>
      <c r="AQ15" s="153">
        <f t="shared" si="25"/>
        <v>116.67274711437565</v>
      </c>
      <c r="AR15" s="163">
        <f t="shared" si="25"/>
        <v>129.10925493678019</v>
      </c>
      <c r="AS15" s="171">
        <f t="shared" si="25"/>
        <v>117.3999060150376</v>
      </c>
      <c r="AT15" s="171">
        <f t="shared" si="25"/>
        <v>115.49305111938362</v>
      </c>
      <c r="AU15" s="171">
        <f t="shared" ref="AU15:AX15" si="26">(AU6+AU7)/AU12</f>
        <v>116.59543549023475</v>
      </c>
      <c r="AV15" s="163">
        <f t="shared" si="26"/>
        <v>128.7315048149575</v>
      </c>
      <c r="AW15" s="179">
        <f t="shared" si="26"/>
        <v>124.38783875693211</v>
      </c>
      <c r="AX15" s="163">
        <f t="shared" si="26"/>
        <v>102.67339787203242</v>
      </c>
      <c r="AY15" s="171">
        <v>100.81741850705777</v>
      </c>
      <c r="AZ15" s="410">
        <f t="shared" ref="AZ15:BB15" si="27">(AZ6+AZ7)/AZ12</f>
        <v>113.63078309141201</v>
      </c>
      <c r="BA15" s="179">
        <f t="shared" si="27"/>
        <v>107.18599076522686</v>
      </c>
      <c r="BB15" s="163">
        <f t="shared" si="27"/>
        <v>119.3794540862055</v>
      </c>
      <c r="BC15" s="386">
        <f t="shared" ref="BC15" si="28">(BC6+BC7)/BC12</f>
        <v>117.37626231129026</v>
      </c>
      <c r="BD15" s="438">
        <f t="shared" ref="BD15:BM15" si="29">(BD6+BD7)/BD12</f>
        <v>116.51673733233979</v>
      </c>
      <c r="BE15" s="651">
        <f t="shared" si="29"/>
        <v>112.98360263265826</v>
      </c>
      <c r="BF15" s="651">
        <f t="shared" si="29"/>
        <v>140.52470311130585</v>
      </c>
      <c r="BG15" s="651">
        <f t="shared" si="29"/>
        <v>130.52914616926469</v>
      </c>
      <c r="BH15" s="651">
        <f t="shared" ref="BH15" si="30">(BH6+BH7)/BH12</f>
        <v>149.22192040876692</v>
      </c>
      <c r="BI15" s="163">
        <f t="shared" si="29"/>
        <v>130.41013216258699</v>
      </c>
      <c r="BJ15" s="163">
        <f t="shared" si="29"/>
        <v>113.22453498174102</v>
      </c>
      <c r="BK15" s="163">
        <f t="shared" si="29"/>
        <v>126.54524714653832</v>
      </c>
      <c r="BL15" s="163">
        <f t="shared" si="29"/>
        <v>124.47456608356545</v>
      </c>
      <c r="BM15" s="163">
        <f t="shared" si="29"/>
        <v>129.95592945827181</v>
      </c>
      <c r="BN15" s="163">
        <f t="shared" ref="BN15:BR15" si="31">(BN6+BN7)/BN12</f>
        <v>142.80964676010012</v>
      </c>
      <c r="BO15" s="163">
        <f t="shared" si="31"/>
        <v>126.9950914131371</v>
      </c>
      <c r="BP15" s="410">
        <f t="shared" si="31"/>
        <v>130.63866710619115</v>
      </c>
      <c r="BQ15" s="163">
        <f t="shared" si="31"/>
        <v>141.64692690965637</v>
      </c>
      <c r="BR15" s="777">
        <f t="shared" si="31"/>
        <v>120.68555076144555</v>
      </c>
      <c r="BS15" s="163">
        <f t="shared" si="0"/>
        <v>130.59477994677215</v>
      </c>
    </row>
    <row r="16" spans="1:71" s="1" customFormat="1" ht="11.25" x14ac:dyDescent="0.2">
      <c r="A16" s="400" t="s">
        <v>11</v>
      </c>
      <c r="B16" s="375">
        <f t="shared" ref="B16:AA16" si="32">(B7+B6)/(B4+B5)</f>
        <v>0.29985973661954068</v>
      </c>
      <c r="C16" s="11">
        <f t="shared" si="32"/>
        <v>0.32650188816221909</v>
      </c>
      <c r="D16" s="11">
        <f t="shared" si="32"/>
        <v>0.39515802211269074</v>
      </c>
      <c r="E16" s="12">
        <f t="shared" si="32"/>
        <v>0.36025999611116932</v>
      </c>
      <c r="F16" s="12">
        <f t="shared" si="32"/>
        <v>0.45345307679598484</v>
      </c>
      <c r="G16" s="12">
        <f t="shared" si="32"/>
        <v>0.496945367885609</v>
      </c>
      <c r="H16" s="12">
        <f t="shared" si="32"/>
        <v>0.61531108183715455</v>
      </c>
      <c r="I16" s="12">
        <f t="shared" si="32"/>
        <v>0.49638749244781866</v>
      </c>
      <c r="J16" s="12">
        <f t="shared" si="32"/>
        <v>0.64161817414961897</v>
      </c>
      <c r="K16" s="81">
        <f t="shared" si="32"/>
        <v>0.55181281648074565</v>
      </c>
      <c r="L16" s="82">
        <f t="shared" si="32"/>
        <v>0.57099841453776601</v>
      </c>
      <c r="M16" s="82">
        <f t="shared" si="32"/>
        <v>0.63665646318357705</v>
      </c>
      <c r="N16" s="83">
        <f t="shared" si="32"/>
        <v>0.65330927506536973</v>
      </c>
      <c r="O16" s="83">
        <f t="shared" si="32"/>
        <v>0.54592732883642514</v>
      </c>
      <c r="P16" s="82">
        <f t="shared" si="32"/>
        <v>0.53712338052413133</v>
      </c>
      <c r="Q16" s="82">
        <f t="shared" si="32"/>
        <v>0.50427118841957863</v>
      </c>
      <c r="R16" s="83">
        <f t="shared" si="32"/>
        <v>0.47135478072475889</v>
      </c>
      <c r="S16" s="82">
        <f t="shared" si="32"/>
        <v>0.50474857068269607</v>
      </c>
      <c r="T16" s="82">
        <f t="shared" si="32"/>
        <v>0.62092147025364808</v>
      </c>
      <c r="U16" s="84">
        <f t="shared" si="32"/>
        <v>0.68246846099052882</v>
      </c>
      <c r="V16" s="98">
        <f t="shared" si="32"/>
        <v>0.72003687807853278</v>
      </c>
      <c r="W16" s="98">
        <f t="shared" si="32"/>
        <v>0.67539796292011922</v>
      </c>
      <c r="X16" s="98">
        <f t="shared" si="32"/>
        <v>0.74958480339261579</v>
      </c>
      <c r="Y16" s="93">
        <f t="shared" si="32"/>
        <v>0.70563495415063104</v>
      </c>
      <c r="Z16" s="93">
        <f t="shared" si="32"/>
        <v>0.67734924474307701</v>
      </c>
      <c r="AA16" s="93">
        <f t="shared" si="32"/>
        <v>0.64846501153525227</v>
      </c>
      <c r="AB16" s="93">
        <f t="shared" ref="AB16:AH16" si="33">(AB7+AB6)/(AB4+AB5)</f>
        <v>0.60291809515392947</v>
      </c>
      <c r="AC16" s="93">
        <f t="shared" si="33"/>
        <v>0.57299009943320856</v>
      </c>
      <c r="AD16" s="93">
        <f t="shared" si="33"/>
        <v>0.56126343635145393</v>
      </c>
      <c r="AE16" s="93">
        <f t="shared" si="33"/>
        <v>0.664651243486166</v>
      </c>
      <c r="AF16" s="93">
        <f t="shared" si="33"/>
        <v>0.67463818914276152</v>
      </c>
      <c r="AG16" s="93">
        <f t="shared" si="33"/>
        <v>0.66361112866898531</v>
      </c>
      <c r="AH16" s="129">
        <f t="shared" si="33"/>
        <v>0.65703073913944465</v>
      </c>
      <c r="AI16" s="93">
        <f t="shared" ref="AI16:AO16" si="34">(AI7+AI6)/(AI4+AI5)</f>
        <v>0.54471781227426963</v>
      </c>
      <c r="AJ16" s="93">
        <f t="shared" si="34"/>
        <v>0.61211805235503536</v>
      </c>
      <c r="AK16" s="129">
        <f t="shared" si="34"/>
        <v>0.74051934260629904</v>
      </c>
      <c r="AL16" s="129">
        <f t="shared" si="34"/>
        <v>0.64359591416790052</v>
      </c>
      <c r="AM16" s="129">
        <f t="shared" si="34"/>
        <v>0.6591566956262872</v>
      </c>
      <c r="AN16" s="129">
        <f t="shared" si="34"/>
        <v>0.64923601618289128</v>
      </c>
      <c r="AO16" s="93">
        <f t="shared" si="34"/>
        <v>0.63407345903710566</v>
      </c>
      <c r="AP16" s="129">
        <f t="shared" ref="AP16:AV16" si="35">(AP7+AP6)/(AP4+AP5)</f>
        <v>0.61574438186944225</v>
      </c>
      <c r="AQ16" s="154">
        <f t="shared" si="35"/>
        <v>0.61066995808950031</v>
      </c>
      <c r="AR16" s="164">
        <f t="shared" si="35"/>
        <v>0.6902578793269537</v>
      </c>
      <c r="AS16" s="172">
        <f t="shared" si="35"/>
        <v>0.62453808960916302</v>
      </c>
      <c r="AT16" s="172">
        <f t="shared" si="35"/>
        <v>0.61565599354411615</v>
      </c>
      <c r="AU16" s="172">
        <f t="shared" si="35"/>
        <v>0.63564834723014685</v>
      </c>
      <c r="AV16" s="164">
        <f t="shared" si="35"/>
        <v>0.7378032203138013</v>
      </c>
      <c r="AW16" s="158">
        <f t="shared" ref="AW16:AX16" si="36">(AW7+AW6)/(AW4+AW5)</f>
        <v>0.70090244357812181</v>
      </c>
      <c r="AX16" s="164">
        <f t="shared" si="36"/>
        <v>0.6567229073079639</v>
      </c>
      <c r="AY16" s="172">
        <v>0.56363093152270505</v>
      </c>
      <c r="AZ16" s="411">
        <f t="shared" ref="AZ16:BB16" si="37">(AZ7+AZ6)/(AZ4+AZ5)</f>
        <v>0.62667224113157172</v>
      </c>
      <c r="BA16" s="158">
        <f t="shared" si="37"/>
        <v>0.5760273174152597</v>
      </c>
      <c r="BB16" s="164">
        <f t="shared" si="37"/>
        <v>0.62234726240934857</v>
      </c>
      <c r="BC16" s="387">
        <f t="shared" ref="BC16" si="38">(BC7+BC6)/(BC4+BC5)</f>
        <v>0.6282385462785598</v>
      </c>
      <c r="BD16" s="440">
        <f t="shared" ref="BD16:BM16" si="39">(BD7+BD6)/(BD4+BD5)</f>
        <v>0.60816165742859596</v>
      </c>
      <c r="BE16" s="444">
        <f t="shared" si="39"/>
        <v>0.60389257166697718</v>
      </c>
      <c r="BF16" s="444">
        <f t="shared" si="39"/>
        <v>0.70733327312990935</v>
      </c>
      <c r="BG16" s="444">
        <f t="shared" si="39"/>
        <v>0.60102464177214987</v>
      </c>
      <c r="BH16" s="444">
        <f t="shared" ref="BH16" si="40">(BH7+BH6)/(BH4+BH5)</f>
        <v>0.72461305606337134</v>
      </c>
      <c r="BI16" s="164">
        <f t="shared" si="39"/>
        <v>0.67863605256094894</v>
      </c>
      <c r="BJ16" s="164">
        <f t="shared" si="39"/>
        <v>0.66863371195296106</v>
      </c>
      <c r="BK16" s="164">
        <f t="shared" si="39"/>
        <v>0.66436277816227607</v>
      </c>
      <c r="BL16" s="164">
        <f t="shared" si="39"/>
        <v>0.62365847532893237</v>
      </c>
      <c r="BM16" s="164">
        <f t="shared" si="39"/>
        <v>0.6284295939722444</v>
      </c>
      <c r="BN16" s="164">
        <f t="shared" ref="BN16:BR16" si="41">(BN7+BN6)/(BN4+BN5)</f>
        <v>0.65801478154215465</v>
      </c>
      <c r="BO16" s="164">
        <f t="shared" si="41"/>
        <v>0.57650268962076368</v>
      </c>
      <c r="BP16" s="411">
        <f t="shared" si="41"/>
        <v>0.59860224487052027</v>
      </c>
      <c r="BQ16" s="164">
        <f t="shared" si="41"/>
        <v>0.65655983489188863</v>
      </c>
      <c r="BR16" s="778">
        <f t="shared" si="41"/>
        <v>0.59985763341142706</v>
      </c>
      <c r="BS16" s="164">
        <f t="shared" si="0"/>
        <v>0.63990795784580323</v>
      </c>
    </row>
    <row r="17" spans="1:71" s="1" customFormat="1" ht="11.25" x14ac:dyDescent="0.2">
      <c r="A17" s="400" t="s">
        <v>12</v>
      </c>
      <c r="B17" s="375">
        <f t="shared" ref="B17:L17" si="42">(B6+B7)/(B4+B5-B10-B11)</f>
        <v>0.30563418316667251</v>
      </c>
      <c r="C17" s="11">
        <f t="shared" si="42"/>
        <v>0.36441980085339709</v>
      </c>
      <c r="D17" s="11">
        <f t="shared" si="42"/>
        <v>0.50108251128544401</v>
      </c>
      <c r="E17" s="12">
        <f t="shared" si="42"/>
        <v>0.44057248538151061</v>
      </c>
      <c r="F17" s="12">
        <f t="shared" si="42"/>
        <v>0.58190050483811706</v>
      </c>
      <c r="G17" s="12">
        <f t="shared" si="42"/>
        <v>0.7628289183967738</v>
      </c>
      <c r="H17" s="12">
        <f t="shared" si="42"/>
        <v>0.87171756263670974</v>
      </c>
      <c r="I17" s="12">
        <f t="shared" si="42"/>
        <v>0.61324866494796126</v>
      </c>
      <c r="J17" s="12">
        <f t="shared" si="42"/>
        <v>0.93728319746560973</v>
      </c>
      <c r="K17" s="81">
        <f t="shared" si="42"/>
        <v>0.70120648095095084</v>
      </c>
      <c r="L17" s="82">
        <f t="shared" si="42"/>
        <v>0.83703759205491524</v>
      </c>
      <c r="M17" s="82">
        <f t="shared" ref="M17:AA17" si="43">(M6+M7)/(M4+M5-M10-M11-M8)</f>
        <v>0.94805935473250436</v>
      </c>
      <c r="N17" s="83">
        <f t="shared" si="43"/>
        <v>0.91673844046873987</v>
      </c>
      <c r="O17" s="83">
        <f t="shared" si="43"/>
        <v>0.72753705905477417</v>
      </c>
      <c r="P17" s="82">
        <f t="shared" si="43"/>
        <v>0.83555479429960744</v>
      </c>
      <c r="Q17" s="82">
        <f t="shared" si="43"/>
        <v>0.67913211207989743</v>
      </c>
      <c r="R17" s="83">
        <f t="shared" si="43"/>
        <v>0.62753482819836226</v>
      </c>
      <c r="S17" s="82">
        <f t="shared" si="43"/>
        <v>0.66594141097131965</v>
      </c>
      <c r="T17" s="82">
        <f t="shared" si="43"/>
        <v>1.0011076997415713</v>
      </c>
      <c r="U17" s="84">
        <f t="shared" si="43"/>
        <v>1.0904086297607247</v>
      </c>
      <c r="V17" s="98">
        <f t="shared" si="43"/>
        <v>1.0946781840458244</v>
      </c>
      <c r="W17" s="98">
        <f t="shared" si="43"/>
        <v>1.0166058351274525</v>
      </c>
      <c r="X17" s="98">
        <f t="shared" si="43"/>
        <v>1.1968653896323593</v>
      </c>
      <c r="Y17" s="93">
        <f t="shared" si="43"/>
        <v>1.1222224969110264</v>
      </c>
      <c r="Z17" s="93">
        <f t="shared" si="43"/>
        <v>1.1154429860674671</v>
      </c>
      <c r="AA17" s="93">
        <f t="shared" si="43"/>
        <v>0.9660835100241566</v>
      </c>
      <c r="AB17" s="93">
        <f t="shared" ref="AB17:AH17" si="44">(AB6+AB7)/(AB4+AB5-AB10-AB11-AB8)</f>
        <v>0.88731934762267295</v>
      </c>
      <c r="AC17" s="93">
        <f t="shared" si="44"/>
        <v>0.8095001305760563</v>
      </c>
      <c r="AD17" s="93">
        <f t="shared" si="44"/>
        <v>0.79882012891766518</v>
      </c>
      <c r="AE17" s="93">
        <f t="shared" si="44"/>
        <v>1.0609796882030875</v>
      </c>
      <c r="AF17" s="93">
        <f t="shared" si="44"/>
        <v>1.0547488671071943</v>
      </c>
      <c r="AG17" s="93">
        <f t="shared" si="44"/>
        <v>1.1012638931769763</v>
      </c>
      <c r="AH17" s="129">
        <f t="shared" si="44"/>
        <v>1.0291044393573163</v>
      </c>
      <c r="AI17" s="93">
        <f t="shared" ref="AI17:AO17" si="45">(AI6+AI7)/(AI4+AI5-AI10-AI11-AI8)</f>
        <v>0.7496454169317941</v>
      </c>
      <c r="AJ17" s="93">
        <f t="shared" si="45"/>
        <v>0.96399682495294392</v>
      </c>
      <c r="AK17" s="129">
        <f t="shared" si="45"/>
        <v>1.221489997679208</v>
      </c>
      <c r="AL17" s="129">
        <f t="shared" si="45"/>
        <v>0.96722349630113924</v>
      </c>
      <c r="AM17" s="129">
        <f t="shared" si="45"/>
        <v>0.95722347991083734</v>
      </c>
      <c r="AN17" s="129">
        <f t="shared" si="45"/>
        <v>0.96381720160735851</v>
      </c>
      <c r="AO17" s="93">
        <f t="shared" si="45"/>
        <v>0.93544485046983128</v>
      </c>
      <c r="AP17" s="129">
        <f t="shared" ref="AP17:AU17" si="46">(AP6+AP7)/(AP4+AP5-AP10-AP11-AP8)</f>
        <v>0.87488327888765538</v>
      </c>
      <c r="AQ17" s="154">
        <f t="shared" si="46"/>
        <v>0.84098568742924018</v>
      </c>
      <c r="AR17" s="164">
        <f t="shared" si="46"/>
        <v>1.1356648438180421</v>
      </c>
      <c r="AS17" s="172">
        <f t="shared" si="46"/>
        <v>0.87113330445424597</v>
      </c>
      <c r="AT17" s="172">
        <f t="shared" si="46"/>
        <v>0.90198942137872862</v>
      </c>
      <c r="AU17" s="172">
        <f t="shared" si="46"/>
        <v>0.99930225629680736</v>
      </c>
      <c r="AV17" s="164">
        <f t="shared" ref="AV17:AX17" si="47">(AV6+AV7)/(AV4+AV5-AV10-AV11-AV8)</f>
        <v>1.2224263281523142</v>
      </c>
      <c r="AW17" s="158">
        <f t="shared" si="47"/>
        <v>1.1396728637512277</v>
      </c>
      <c r="AX17" s="164">
        <f t="shared" si="47"/>
        <v>1.0186605885025166</v>
      </c>
      <c r="AY17" s="172">
        <v>0.81188755433835802</v>
      </c>
      <c r="AZ17" s="411">
        <f t="shared" ref="AZ17:BB17" si="48">(AZ6+AZ7)/(AZ4+AZ5-AZ10-AZ11-AZ8)</f>
        <v>1.0584578747086042</v>
      </c>
      <c r="BA17" s="158">
        <f t="shared" si="48"/>
        <v>0.83531272102675624</v>
      </c>
      <c r="BB17" s="164">
        <f t="shared" si="48"/>
        <v>0.95554300710708651</v>
      </c>
      <c r="BC17" s="387">
        <f t="shared" ref="BC17" si="49">(BC6+BC7)/(BC4+BC5-BC10-BC11-BC8)</f>
        <v>0.93531909750247588</v>
      </c>
      <c r="BD17" s="440">
        <f t="shared" ref="BD17:BM17" si="50">(BD6+BD7)/(BD4+BD5-BD10-BD11-BD8)</f>
        <v>0.89056297128178263</v>
      </c>
      <c r="BE17" s="444">
        <f t="shared" si="50"/>
        <v>0.86909696754393251</v>
      </c>
      <c r="BF17" s="444">
        <f t="shared" si="50"/>
        <v>1.1544335376850474</v>
      </c>
      <c r="BG17" s="444">
        <f t="shared" si="50"/>
        <v>1.2736091873141779</v>
      </c>
      <c r="BH17" s="444">
        <f t="shared" ref="BH17" si="51">(BH6+BH7)/(BH4+BH5-BH10-BH11-BH8)</f>
        <v>1.4209881121771009</v>
      </c>
      <c r="BI17" s="164">
        <f t="shared" si="50"/>
        <v>1.1351783875578487</v>
      </c>
      <c r="BJ17" s="164">
        <f t="shared" si="50"/>
        <v>1.2220761968653218</v>
      </c>
      <c r="BK17" s="164">
        <f t="shared" si="50"/>
        <v>1.14907712005701</v>
      </c>
      <c r="BL17" s="164">
        <f t="shared" si="50"/>
        <v>1.1010321661294391</v>
      </c>
      <c r="BM17" s="164">
        <f t="shared" si="50"/>
        <v>1.4567408097716772</v>
      </c>
      <c r="BN17" s="164">
        <f t="shared" ref="BN17:BR17" si="52">(BN6+BN7)/(BN4+BN5-BN10-BN11-BN8)</f>
        <v>1.3097326381185466</v>
      </c>
      <c r="BO17" s="164">
        <f t="shared" si="52"/>
        <v>0.94515288925632024</v>
      </c>
      <c r="BP17" s="411">
        <f t="shared" si="52"/>
        <v>1.0089162385550583</v>
      </c>
      <c r="BQ17" s="164">
        <f t="shared" si="52"/>
        <v>1.2164295259466558</v>
      </c>
      <c r="BR17" s="778">
        <f t="shared" si="52"/>
        <v>0.9741417585103116</v>
      </c>
      <c r="BS17" s="164">
        <f t="shared" si="0"/>
        <v>1.1844229191882891</v>
      </c>
    </row>
    <row r="18" spans="1:71" s="1" customFormat="1" ht="11.25" x14ac:dyDescent="0.2">
      <c r="A18" s="400" t="s">
        <v>13</v>
      </c>
      <c r="B18" s="376">
        <v>29613.3</v>
      </c>
      <c r="C18" s="13">
        <v>45873.14</v>
      </c>
      <c r="D18" s="13">
        <v>72145.52</v>
      </c>
      <c r="E18" s="14">
        <v>83418.84</v>
      </c>
      <c r="F18" s="14">
        <f>SUM(F19:F20)</f>
        <v>123345.43</v>
      </c>
      <c r="G18" s="10">
        <f>SUM(G19:G20)</f>
        <v>190686.95</v>
      </c>
      <c r="H18" s="10">
        <v>221076.48000000001</v>
      </c>
      <c r="I18" s="10">
        <v>333994.89999999997</v>
      </c>
      <c r="J18" s="10">
        <v>300942.58999999997</v>
      </c>
      <c r="K18" s="77">
        <v>420190.99</v>
      </c>
      <c r="L18" s="78">
        <v>511180.17000000004</v>
      </c>
      <c r="M18" s="78">
        <v>467470.07</v>
      </c>
      <c r="N18" s="79">
        <v>584040.11</v>
      </c>
      <c r="O18" s="79">
        <v>699506.45</v>
      </c>
      <c r="P18" s="78">
        <v>889569.94</v>
      </c>
      <c r="Q18" s="78">
        <v>1109751.98</v>
      </c>
      <c r="R18" s="79">
        <v>1483630.31</v>
      </c>
      <c r="S18" s="78">
        <v>1901276.39</v>
      </c>
      <c r="T18" s="78">
        <v>1921651.91</v>
      </c>
      <c r="U18" s="80">
        <v>1628702.92</v>
      </c>
      <c r="V18" s="97">
        <v>1841301.48</v>
      </c>
      <c r="W18" s="97">
        <v>1816623.6500000001</v>
      </c>
      <c r="X18" s="97">
        <v>1482744.15</v>
      </c>
      <c r="Y18" s="105">
        <v>1656123.2699999998</v>
      </c>
      <c r="Z18" s="105">
        <v>1521607.8199999998</v>
      </c>
      <c r="AA18" s="105">
        <v>2005973.05</v>
      </c>
      <c r="AB18" s="105">
        <v>2060917.57</v>
      </c>
      <c r="AC18" s="105">
        <v>2537213.42</v>
      </c>
      <c r="AD18" s="105">
        <v>3377851.6399999997</v>
      </c>
      <c r="AE18" s="105">
        <v>3104070.46</v>
      </c>
      <c r="AF18" s="105">
        <v>3066868.55</v>
      </c>
      <c r="AG18" s="105">
        <v>2729047.32</v>
      </c>
      <c r="AH18" s="130">
        <v>3044267.69</v>
      </c>
      <c r="AI18" s="105">
        <v>3292371.58</v>
      </c>
      <c r="AJ18" s="105">
        <v>3454353.9000000004</v>
      </c>
      <c r="AK18" s="130">
        <v>3265097.42</v>
      </c>
      <c r="AL18" s="130">
        <v>3357620.0300000003</v>
      </c>
      <c r="AM18" s="130">
        <v>3290042.12</v>
      </c>
      <c r="AN18" s="130">
        <v>3516754.4499999997</v>
      </c>
      <c r="AO18" s="105">
        <v>3681737.8099999996</v>
      </c>
      <c r="AP18" s="130">
        <v>4232620.7699999996</v>
      </c>
      <c r="AQ18" s="155">
        <v>4437542.01</v>
      </c>
      <c r="AR18" s="165">
        <v>4715184.83</v>
      </c>
      <c r="AS18" s="173">
        <v>4895480.46</v>
      </c>
      <c r="AT18" s="173">
        <v>5038260.18</v>
      </c>
      <c r="AU18" s="173">
        <v>5275720.290000001</v>
      </c>
      <c r="AV18" s="165">
        <v>5131460.24</v>
      </c>
      <c r="AW18" s="180">
        <v>4785494.0600000005</v>
      </c>
      <c r="AX18" s="165">
        <v>5178735.17</v>
      </c>
      <c r="AY18" s="173">
        <v>5591347.8600000003</v>
      </c>
      <c r="AZ18" s="412">
        <v>5783505.4100000001</v>
      </c>
      <c r="BA18" s="180">
        <v>6102127.9399999995</v>
      </c>
      <c r="BB18" s="165">
        <v>6437819.21</v>
      </c>
      <c r="BC18" s="388">
        <v>6531813.3100000005</v>
      </c>
      <c r="BD18" s="441">
        <v>7062551.5600000005</v>
      </c>
      <c r="BE18" s="441">
        <v>7553373.1799999997</v>
      </c>
      <c r="BF18" s="436">
        <f>BF19+BF20</f>
        <v>5295481.24</v>
      </c>
      <c r="BG18" s="436">
        <f>BG19+BG20</f>
        <v>5824116.1899999995</v>
      </c>
      <c r="BH18" s="436">
        <f>BH19+BH20</f>
        <v>5113024.8900000006</v>
      </c>
      <c r="BI18" s="161">
        <f>BI19+BI20</f>
        <v>4809510.7300000004</v>
      </c>
      <c r="BJ18" s="161">
        <f t="shared" ref="BJ18:BM18" si="53">BJ19+BJ20</f>
        <v>5484824.7200000007</v>
      </c>
      <c r="BK18" s="161">
        <f t="shared" si="53"/>
        <v>5410788.9100000001</v>
      </c>
      <c r="BL18" s="161">
        <f t="shared" si="53"/>
        <v>6056585.4499999993</v>
      </c>
      <c r="BM18" s="161">
        <f t="shared" si="53"/>
        <v>5767234.6399999997</v>
      </c>
      <c r="BN18" s="161">
        <f t="shared" ref="BN18:BR18" si="54">BN19+BN20</f>
        <v>5284548.21</v>
      </c>
      <c r="BO18" s="161">
        <f t="shared" si="54"/>
        <v>5519388.3900000006</v>
      </c>
      <c r="BP18" s="408">
        <f t="shared" si="54"/>
        <v>5619551.3199999994</v>
      </c>
      <c r="BQ18" s="161">
        <f t="shared" si="54"/>
        <v>5348677.5699999994</v>
      </c>
      <c r="BR18" s="775">
        <f t="shared" si="54"/>
        <v>5794069.7699999996</v>
      </c>
      <c r="BS18" s="161">
        <f t="shared" si="0"/>
        <v>5502693.3991666669</v>
      </c>
    </row>
    <row r="19" spans="1:71" s="1" customFormat="1" ht="11.25" x14ac:dyDescent="0.2">
      <c r="A19" s="400" t="s">
        <v>14</v>
      </c>
      <c r="B19" s="376">
        <v>2047.8</v>
      </c>
      <c r="C19" s="13">
        <v>5005.13</v>
      </c>
      <c r="D19" s="13">
        <v>6365.73</v>
      </c>
      <c r="E19" s="14">
        <v>8472.07</v>
      </c>
      <c r="F19" s="14">
        <v>14839.42</v>
      </c>
      <c r="G19" s="10">
        <v>28027.88</v>
      </c>
      <c r="H19" s="10">
        <v>44919.17</v>
      </c>
      <c r="I19" s="10">
        <v>53555.519999999997</v>
      </c>
      <c r="J19" s="10">
        <v>72638.789999999994</v>
      </c>
      <c r="K19" s="77">
        <v>78466.31</v>
      </c>
      <c r="L19" s="78">
        <v>64149.899999999994</v>
      </c>
      <c r="M19" s="78">
        <v>90219.4</v>
      </c>
      <c r="N19" s="79">
        <v>103176.31</v>
      </c>
      <c r="O19" s="79">
        <v>113874.19999999998</v>
      </c>
      <c r="P19" s="78">
        <v>120222.29999999999</v>
      </c>
      <c r="Q19" s="78">
        <v>139911.49</v>
      </c>
      <c r="R19" s="79">
        <v>166085.21000000002</v>
      </c>
      <c r="S19" s="78">
        <v>204080.08</v>
      </c>
      <c r="T19" s="78">
        <v>296731.5</v>
      </c>
      <c r="U19" s="80">
        <v>330079.03000000003</v>
      </c>
      <c r="V19" s="97">
        <v>324714.05000000005</v>
      </c>
      <c r="W19" s="97">
        <v>342933.74</v>
      </c>
      <c r="X19" s="97">
        <v>401914.83</v>
      </c>
      <c r="Y19" s="105">
        <v>437365.4</v>
      </c>
      <c r="Z19" s="105">
        <v>310861.11</v>
      </c>
      <c r="AA19" s="105">
        <v>338760.46</v>
      </c>
      <c r="AB19" s="105">
        <v>377013.08</v>
      </c>
      <c r="AC19" s="105">
        <v>650163.39999999991</v>
      </c>
      <c r="AD19" s="105">
        <v>829222.34000000008</v>
      </c>
      <c r="AE19" s="105">
        <v>861731.41999999993</v>
      </c>
      <c r="AF19" s="105">
        <v>942965.53</v>
      </c>
      <c r="AG19" s="105">
        <v>981338.41</v>
      </c>
      <c r="AH19" s="130">
        <v>1048472.08</v>
      </c>
      <c r="AI19" s="105">
        <v>1101093.19</v>
      </c>
      <c r="AJ19" s="105">
        <v>1201352.04</v>
      </c>
      <c r="AK19" s="130">
        <v>1249769.8699999999</v>
      </c>
      <c r="AL19" s="130">
        <v>1303875.3199999998</v>
      </c>
      <c r="AM19" s="130">
        <v>1380738.7</v>
      </c>
      <c r="AN19" s="130">
        <v>1464720.89</v>
      </c>
      <c r="AO19" s="105">
        <v>1543751.93</v>
      </c>
      <c r="AP19" s="130">
        <v>1666215.62</v>
      </c>
      <c r="AQ19" s="155">
        <v>1783653.4300000002</v>
      </c>
      <c r="AR19" s="165">
        <v>1850121.25</v>
      </c>
      <c r="AS19" s="173">
        <v>1890858.5100000002</v>
      </c>
      <c r="AT19" s="173">
        <v>1998865.8299999998</v>
      </c>
      <c r="AU19" s="173">
        <v>2101714.34</v>
      </c>
      <c r="AV19" s="165">
        <v>2224303.7599999998</v>
      </c>
      <c r="AW19" s="180">
        <v>2281385.91</v>
      </c>
      <c r="AX19" s="165">
        <v>2393796.2600000002</v>
      </c>
      <c r="AY19" s="173">
        <v>2501721.62</v>
      </c>
      <c r="AZ19" s="412">
        <v>2606709.9899999998</v>
      </c>
      <c r="BA19" s="180">
        <v>2669730.9700000002</v>
      </c>
      <c r="BB19" s="165">
        <v>2769969.3200000003</v>
      </c>
      <c r="BC19" s="388">
        <v>2897464.27</v>
      </c>
      <c r="BD19" s="441">
        <v>2931143.21</v>
      </c>
      <c r="BE19" s="441">
        <v>2967960.29</v>
      </c>
      <c r="BF19" s="436">
        <v>1295818.0299999998</v>
      </c>
      <c r="BG19" s="436">
        <v>1182986.93</v>
      </c>
      <c r="BH19" s="436">
        <f>+'KPI - Market 1'!BI19+'KPI - Market 2'!L19</f>
        <v>1182818.9600000002</v>
      </c>
      <c r="BI19" s="161">
        <v>1116090.6199999999</v>
      </c>
      <c r="BJ19" s="161">
        <f>'KPI - Market 1'!BK19+'KPI - Market 2'!N19</f>
        <v>1428389.2699999998</v>
      </c>
      <c r="BK19" s="161">
        <f>'KPI - Market 1'!BL19+'KPI - Market 2'!O19</f>
        <v>1339204.83</v>
      </c>
      <c r="BL19" s="161">
        <f>'KPI - Market 1'!BM19+'KPI - Market 2'!P19</f>
        <v>1258722.68</v>
      </c>
      <c r="BM19" s="161">
        <f>'KPI - Market 1'!BN19+'KPI - Market 2'!Q19</f>
        <v>1377083.3299999998</v>
      </c>
      <c r="BN19" s="161">
        <f>'AR - Enterprise'!D58</f>
        <v>1200336.3899999999</v>
      </c>
      <c r="BO19" s="161">
        <f>'AR - Enterprise'!D46</f>
        <v>1231545.8100000003</v>
      </c>
      <c r="BP19" s="408">
        <v>1293954.54</v>
      </c>
      <c r="BQ19" s="161">
        <v>1329102.4099999997</v>
      </c>
      <c r="BR19" s="775">
        <v>1332553.7599999998</v>
      </c>
      <c r="BS19" s="161">
        <f t="shared" si="0"/>
        <v>1272732.4608333332</v>
      </c>
    </row>
    <row r="20" spans="1:71" s="1" customFormat="1" ht="11.25" x14ac:dyDescent="0.2">
      <c r="A20" s="401" t="s">
        <v>15</v>
      </c>
      <c r="B20" s="376">
        <v>27565.5</v>
      </c>
      <c r="C20" s="13">
        <v>40868.01</v>
      </c>
      <c r="D20" s="13">
        <v>65779.789999999994</v>
      </c>
      <c r="E20" s="14">
        <v>74946.77</v>
      </c>
      <c r="F20" s="14">
        <v>108506.01</v>
      </c>
      <c r="G20" s="10">
        <v>162659.07</v>
      </c>
      <c r="H20" s="10">
        <v>176157.31</v>
      </c>
      <c r="I20" s="10">
        <v>280439.38</v>
      </c>
      <c r="J20" s="10">
        <v>228303.8</v>
      </c>
      <c r="K20" s="77">
        <v>341724.68</v>
      </c>
      <c r="L20" s="78">
        <v>447030.27</v>
      </c>
      <c r="M20" s="78">
        <v>377250.67000000004</v>
      </c>
      <c r="N20" s="79">
        <v>480863.80000000005</v>
      </c>
      <c r="O20" s="79">
        <v>585632.25</v>
      </c>
      <c r="P20" s="78">
        <v>769347.64</v>
      </c>
      <c r="Q20" s="78">
        <v>969840.49</v>
      </c>
      <c r="R20" s="79">
        <v>1317545.1000000001</v>
      </c>
      <c r="S20" s="78">
        <v>1697196.31</v>
      </c>
      <c r="T20" s="78">
        <v>1624920.41</v>
      </c>
      <c r="U20" s="80">
        <v>1298623.8900000001</v>
      </c>
      <c r="V20" s="97">
        <v>1516587.4300000002</v>
      </c>
      <c r="W20" s="97">
        <v>1473689.9100000001</v>
      </c>
      <c r="X20" s="97">
        <v>1080829.3199999998</v>
      </c>
      <c r="Y20" s="105">
        <v>1218757.8700000001</v>
      </c>
      <c r="Z20" s="105">
        <v>1210746.71</v>
      </c>
      <c r="AA20" s="105">
        <v>1667212.59</v>
      </c>
      <c r="AB20" s="105">
        <v>1683904.49</v>
      </c>
      <c r="AC20" s="105">
        <v>1887050.0199999998</v>
      </c>
      <c r="AD20" s="105">
        <v>2548629.2999999998</v>
      </c>
      <c r="AE20" s="105">
        <v>2242339.04</v>
      </c>
      <c r="AF20" s="105">
        <v>2123903.02</v>
      </c>
      <c r="AG20" s="105">
        <v>1747708.91</v>
      </c>
      <c r="AH20" s="130">
        <v>1995795.61</v>
      </c>
      <c r="AI20" s="105">
        <v>2191278.39</v>
      </c>
      <c r="AJ20" s="105">
        <v>2253001.8600000003</v>
      </c>
      <c r="AK20" s="130">
        <v>2015327.55</v>
      </c>
      <c r="AL20" s="130">
        <v>2053744.7099999997</v>
      </c>
      <c r="AM20" s="130">
        <v>1909303.42</v>
      </c>
      <c r="AN20" s="130">
        <v>2052033.5599999998</v>
      </c>
      <c r="AO20" s="105">
        <v>2137985.88</v>
      </c>
      <c r="AP20" s="130">
        <v>2566405.15</v>
      </c>
      <c r="AQ20" s="155">
        <v>2653888.58</v>
      </c>
      <c r="AR20" s="165">
        <v>2814063.58</v>
      </c>
      <c r="AS20" s="173">
        <v>3004621.9499999997</v>
      </c>
      <c r="AT20" s="173">
        <v>3039394.35</v>
      </c>
      <c r="AU20" s="173">
        <v>3174005.9499999997</v>
      </c>
      <c r="AV20" s="165">
        <v>2907156.48</v>
      </c>
      <c r="AW20" s="180">
        <v>2504108.15</v>
      </c>
      <c r="AX20" s="165">
        <v>2784938.91</v>
      </c>
      <c r="AY20" s="173">
        <v>3089626.2399999998</v>
      </c>
      <c r="AZ20" s="412">
        <v>3176795.4200000009</v>
      </c>
      <c r="BA20" s="180">
        <v>3432396.9699999997</v>
      </c>
      <c r="BB20" s="165">
        <v>3667849.8899999997</v>
      </c>
      <c r="BC20" s="388">
        <v>3634349.04</v>
      </c>
      <c r="BD20" s="441">
        <v>4131408.35</v>
      </c>
      <c r="BE20" s="441">
        <v>4585412.8899999997</v>
      </c>
      <c r="BF20" s="436">
        <v>3999663.21</v>
      </c>
      <c r="BG20" s="436">
        <v>4641129.26</v>
      </c>
      <c r="BH20" s="436">
        <f>+'KPI - Market 1'!BI20+'KPI - Market 2'!L20</f>
        <v>3930205.93</v>
      </c>
      <c r="BI20" s="161">
        <v>3693420.1100000003</v>
      </c>
      <c r="BJ20" s="161">
        <f>'KPI - Market 1'!BK20+'KPI - Market 2'!N20</f>
        <v>4056435.4500000007</v>
      </c>
      <c r="BK20" s="161">
        <f>'KPI - Market 1'!BL20+'KPI - Market 2'!O20</f>
        <v>4071584.0799999996</v>
      </c>
      <c r="BL20" s="161">
        <f>'KPI - Market 1'!BM20+'KPI - Market 2'!P20</f>
        <v>4797862.7699999996</v>
      </c>
      <c r="BM20" s="161">
        <f>'KPI - Market 1'!BN20+'KPI - Market 2'!Q20</f>
        <v>4390151.3099999996</v>
      </c>
      <c r="BN20" s="161">
        <f>'AR - Enterprise'!B58</f>
        <v>4084211.8200000003</v>
      </c>
      <c r="BO20" s="161">
        <f>'AR - Enterprise'!B46</f>
        <v>4287842.58</v>
      </c>
      <c r="BP20" s="408">
        <v>4325596.7799999993</v>
      </c>
      <c r="BQ20" s="161">
        <v>4019575.1599999997</v>
      </c>
      <c r="BR20" s="775">
        <v>4461516.01</v>
      </c>
      <c r="BS20" s="161">
        <f t="shared" si="0"/>
        <v>4229960.9383333335</v>
      </c>
    </row>
    <row r="21" spans="1:71" s="1" customFormat="1" ht="11.25" x14ac:dyDescent="0.2">
      <c r="A21" s="401" t="s">
        <v>16</v>
      </c>
      <c r="B21" s="377">
        <v>0</v>
      </c>
      <c r="C21" s="15">
        <v>0</v>
      </c>
      <c r="D21" s="15">
        <v>0.01</v>
      </c>
      <c r="E21" s="16">
        <v>5.4699999999999999E-2</v>
      </c>
      <c r="F21" s="16">
        <v>7.0999999999999994E-2</v>
      </c>
      <c r="G21" s="16">
        <v>7.0300000000000001E-2</v>
      </c>
      <c r="H21" s="16">
        <v>0.1038</v>
      </c>
      <c r="I21" s="16">
        <v>0.11</v>
      </c>
      <c r="J21" s="16">
        <v>0.15</v>
      </c>
      <c r="K21" s="85">
        <v>0.15</v>
      </c>
      <c r="L21" s="86">
        <v>0.14000000000000001</v>
      </c>
      <c r="M21" s="86">
        <v>0.22</v>
      </c>
      <c r="N21" s="87">
        <v>0.23</v>
      </c>
      <c r="O21" s="87">
        <v>0.22</v>
      </c>
      <c r="P21" s="86">
        <v>0.17</v>
      </c>
      <c r="Q21" s="86">
        <v>0.18</v>
      </c>
      <c r="R21" s="87">
        <v>0.18</v>
      </c>
      <c r="S21" s="86">
        <v>0.19</v>
      </c>
      <c r="T21" s="86">
        <v>0.23</v>
      </c>
      <c r="U21" s="88">
        <v>0.31</v>
      </c>
      <c r="V21" s="99">
        <v>0.32</v>
      </c>
      <c r="W21" s="99">
        <v>0.34</v>
      </c>
      <c r="X21" s="99">
        <v>0.42</v>
      </c>
      <c r="Y21" s="106">
        <v>0.38</v>
      </c>
      <c r="Z21" s="106">
        <v>0.32</v>
      </c>
      <c r="AA21" s="106">
        <v>0.24</v>
      </c>
      <c r="AB21" s="106">
        <v>0.26</v>
      </c>
      <c r="AC21" s="106">
        <v>0.34</v>
      </c>
      <c r="AD21" s="106">
        <v>0.28000000000000003</v>
      </c>
      <c r="AE21" s="106">
        <v>0.33</v>
      </c>
      <c r="AF21" s="106">
        <v>0.35</v>
      </c>
      <c r="AG21" s="106">
        <v>0.43</v>
      </c>
      <c r="AH21" s="131">
        <v>0.42</v>
      </c>
      <c r="AI21" s="106">
        <v>0.41</v>
      </c>
      <c r="AJ21" s="106">
        <v>0.42</v>
      </c>
      <c r="AK21" s="131">
        <v>0.47</v>
      </c>
      <c r="AL21" s="131">
        <v>0.46</v>
      </c>
      <c r="AM21" s="131">
        <v>0.46</v>
      </c>
      <c r="AN21" s="131">
        <v>0.45610000000000001</v>
      </c>
      <c r="AO21" s="106">
        <v>0.46</v>
      </c>
      <c r="AP21" s="131">
        <v>0.43</v>
      </c>
      <c r="AQ21" s="156">
        <v>0.43</v>
      </c>
      <c r="AR21" s="166">
        <v>0.45</v>
      </c>
      <c r="AS21" s="174">
        <v>0.41</v>
      </c>
      <c r="AT21" s="174">
        <v>0.43</v>
      </c>
      <c r="AU21" s="174">
        <v>0.42</v>
      </c>
      <c r="AV21" s="166">
        <v>0.46</v>
      </c>
      <c r="AW21" s="181">
        <v>0.47</v>
      </c>
      <c r="AX21" s="166">
        <v>0.49</v>
      </c>
      <c r="AY21" s="174">
        <v>0.47</v>
      </c>
      <c r="AZ21" s="413">
        <v>0.43</v>
      </c>
      <c r="BA21" s="181">
        <v>0.43</v>
      </c>
      <c r="BB21" s="166">
        <v>0.44</v>
      </c>
      <c r="BC21" s="389">
        <v>0.45</v>
      </c>
      <c r="BD21" s="442">
        <v>0.41</v>
      </c>
      <c r="BE21" s="652">
        <v>0.40710000000000002</v>
      </c>
      <c r="BF21" s="696">
        <v>0.3</v>
      </c>
      <c r="BG21" s="696">
        <v>0.5</v>
      </c>
      <c r="BH21" s="696">
        <v>0.31</v>
      </c>
      <c r="BI21" s="751">
        <v>0.33</v>
      </c>
      <c r="BJ21" s="751">
        <v>0.33</v>
      </c>
      <c r="BK21" s="751">
        <v>0.3</v>
      </c>
      <c r="BL21" s="751">
        <v>0.33</v>
      </c>
      <c r="BM21" s="751">
        <v>0.27</v>
      </c>
      <c r="BN21" s="751">
        <v>0.25</v>
      </c>
      <c r="BO21" s="751">
        <v>0.25</v>
      </c>
      <c r="BP21" s="819">
        <v>0.23</v>
      </c>
      <c r="BQ21" s="751">
        <v>0.24</v>
      </c>
      <c r="BR21" s="779">
        <v>0.23</v>
      </c>
      <c r="BS21" s="751">
        <f t="shared" si="0"/>
        <v>0.29749999999999999</v>
      </c>
    </row>
    <row r="22" spans="1:71" s="1" customFormat="1" ht="11.25" x14ac:dyDescent="0.2">
      <c r="A22" s="401" t="s">
        <v>64</v>
      </c>
      <c r="B22" s="377"/>
      <c r="C22" s="15"/>
      <c r="D22" s="15"/>
      <c r="E22" s="16"/>
      <c r="F22" s="16"/>
      <c r="G22" s="16"/>
      <c r="H22" s="16"/>
      <c r="I22" s="16"/>
      <c r="J22" s="16"/>
      <c r="K22" s="85"/>
      <c r="L22" s="86"/>
      <c r="M22" s="86"/>
      <c r="N22" s="87"/>
      <c r="O22" s="87"/>
      <c r="P22" s="86"/>
      <c r="Q22" s="86"/>
      <c r="R22" s="87"/>
      <c r="S22" s="86"/>
      <c r="T22" s="86"/>
      <c r="U22" s="88"/>
      <c r="V22" s="99"/>
      <c r="W22" s="99"/>
      <c r="X22" s="99"/>
      <c r="Y22" s="106"/>
      <c r="Z22" s="106"/>
      <c r="AA22" s="106"/>
      <c r="AB22" s="106"/>
      <c r="AC22" s="106"/>
      <c r="AD22" s="106"/>
      <c r="AE22" s="106"/>
      <c r="AF22" s="106"/>
      <c r="AG22" s="106"/>
      <c r="AH22" s="131"/>
      <c r="AI22" s="106"/>
      <c r="AJ22" s="139">
        <v>1442859.82</v>
      </c>
      <c r="AK22" s="141">
        <v>1528614.45</v>
      </c>
      <c r="AL22" s="141">
        <v>1531339.72</v>
      </c>
      <c r="AM22" s="141">
        <v>1577208.89</v>
      </c>
      <c r="AN22" s="141">
        <v>1143055.93</v>
      </c>
      <c r="AO22" s="139">
        <v>1705921.56</v>
      </c>
      <c r="AP22" s="141">
        <v>1830630.73</v>
      </c>
      <c r="AQ22" s="157">
        <v>1896649.58</v>
      </c>
      <c r="AR22" s="167">
        <v>2038944.04</v>
      </c>
      <c r="AS22" s="159">
        <v>2026763.95</v>
      </c>
      <c r="AT22" s="159">
        <v>2147870.58</v>
      </c>
      <c r="AU22" s="159">
        <v>2238321.0099999998</v>
      </c>
      <c r="AV22" s="167">
        <v>2364042.14</v>
      </c>
      <c r="AW22" s="182">
        <v>2420916.87</v>
      </c>
      <c r="AX22" s="167">
        <v>2547108.65</v>
      </c>
      <c r="AY22" s="159">
        <v>2618909.38</v>
      </c>
      <c r="AZ22" s="414">
        <v>2488540.13</v>
      </c>
      <c r="BA22" s="182">
        <v>2600616.98</v>
      </c>
      <c r="BB22" s="167">
        <v>2810998.2600000002</v>
      </c>
      <c r="BC22" s="390">
        <v>2922961.79</v>
      </c>
      <c r="BD22" s="443">
        <v>3014434.12</v>
      </c>
      <c r="BE22" s="443">
        <v>3074962.51</v>
      </c>
      <c r="BF22" s="436">
        <v>1582430.24</v>
      </c>
      <c r="BG22" s="436">
        <v>1631751.75</v>
      </c>
      <c r="BH22" s="436">
        <v>1572761.8</v>
      </c>
      <c r="BI22" s="161">
        <v>1601121.05</v>
      </c>
      <c r="BJ22" s="161">
        <v>1802097.56</v>
      </c>
      <c r="BK22" s="161">
        <v>1604618.59</v>
      </c>
      <c r="BL22" s="161">
        <v>1994596.87</v>
      </c>
      <c r="BM22" s="161">
        <v>1584482.33</v>
      </c>
      <c r="BN22" s="161">
        <v>1324892.1299999999</v>
      </c>
      <c r="BO22" s="161">
        <v>1380533.28</v>
      </c>
      <c r="BP22" s="408">
        <v>1302641.98</v>
      </c>
      <c r="BQ22" s="161">
        <v>1304304.7</v>
      </c>
      <c r="BR22" s="775">
        <v>1352669.62</v>
      </c>
      <c r="BS22" s="161">
        <f t="shared" si="0"/>
        <v>1538039.3050000004</v>
      </c>
    </row>
    <row r="23" spans="1:71" s="1" customFormat="1" ht="11.25" x14ac:dyDescent="0.2">
      <c r="A23" s="401" t="s">
        <v>234</v>
      </c>
      <c r="B23" s="375">
        <v>0</v>
      </c>
      <c r="C23" s="11">
        <v>0</v>
      </c>
      <c r="D23" s="11">
        <v>0.01</v>
      </c>
      <c r="E23" s="12">
        <v>3.2899999999999999E-2</v>
      </c>
      <c r="F23" s="12">
        <v>0.04</v>
      </c>
      <c r="G23" s="12">
        <v>4.4299999999999999E-2</v>
      </c>
      <c r="H23" s="12">
        <v>7.0000000000000007E-2</v>
      </c>
      <c r="I23" s="12">
        <v>0.08</v>
      </c>
      <c r="J23" s="12">
        <v>0.1</v>
      </c>
      <c r="K23" s="81">
        <v>0.09</v>
      </c>
      <c r="L23" s="82">
        <v>0.10979999999999999</v>
      </c>
      <c r="M23" s="82">
        <v>0.18</v>
      </c>
      <c r="N23" s="83">
        <v>0.17</v>
      </c>
      <c r="O23" s="83">
        <v>0.16</v>
      </c>
      <c r="P23" s="82">
        <v>0.11</v>
      </c>
      <c r="Q23" s="82">
        <v>0.12</v>
      </c>
      <c r="R23" s="83">
        <v>0.13</v>
      </c>
      <c r="S23" s="82">
        <v>0.14000000000000001</v>
      </c>
      <c r="T23" s="82">
        <v>0.18</v>
      </c>
      <c r="U23" s="84">
        <v>0.25719999999999998</v>
      </c>
      <c r="V23" s="98">
        <v>0.24</v>
      </c>
      <c r="W23" s="98">
        <v>0.25</v>
      </c>
      <c r="X23" s="98">
        <v>0.32</v>
      </c>
      <c r="Y23" s="93">
        <v>0.26</v>
      </c>
      <c r="Z23" s="93">
        <v>0.24</v>
      </c>
      <c r="AA23" s="93">
        <v>0.15229999999999999</v>
      </c>
      <c r="AB23" s="93">
        <v>0.17</v>
      </c>
      <c r="AC23" s="93">
        <v>0.19</v>
      </c>
      <c r="AD23" s="93">
        <v>0.14000000000000001</v>
      </c>
      <c r="AE23" s="93">
        <v>0.18</v>
      </c>
      <c r="AF23" s="93">
        <v>0.19</v>
      </c>
      <c r="AG23" s="93">
        <v>0.26</v>
      </c>
      <c r="AH23" s="129">
        <v>0.27</v>
      </c>
      <c r="AI23" s="93">
        <v>0.26</v>
      </c>
      <c r="AJ23" s="93">
        <v>0.26</v>
      </c>
      <c r="AK23" s="129">
        <v>0.28999999999999998</v>
      </c>
      <c r="AL23" s="129">
        <v>0.26</v>
      </c>
      <c r="AM23" s="129">
        <v>0.26</v>
      </c>
      <c r="AN23" s="129">
        <v>0.23</v>
      </c>
      <c r="AO23" s="93">
        <v>0.24</v>
      </c>
      <c r="AP23" s="129">
        <v>0.22</v>
      </c>
      <c r="AQ23" s="154">
        <v>0.22</v>
      </c>
      <c r="AR23" s="164">
        <v>0.24</v>
      </c>
      <c r="AS23" s="172">
        <v>0.21</v>
      </c>
      <c r="AT23" s="172">
        <v>0.21</v>
      </c>
      <c r="AU23" s="172">
        <v>0.2</v>
      </c>
      <c r="AV23" s="164">
        <v>0.21</v>
      </c>
      <c r="AW23" s="158">
        <v>0.23</v>
      </c>
      <c r="AX23" s="164">
        <v>0.22</v>
      </c>
      <c r="AY23" s="172">
        <v>0.21</v>
      </c>
      <c r="AZ23" s="411">
        <v>0.13</v>
      </c>
      <c r="BA23" s="158">
        <v>0.1406</v>
      </c>
      <c r="BB23" s="164">
        <v>0.21949999999999997</v>
      </c>
      <c r="BC23" s="387">
        <v>9.2499999999999999E-2</v>
      </c>
      <c r="BD23" s="444">
        <v>8.5199999999999998E-2</v>
      </c>
      <c r="BE23" s="652">
        <v>6.9900000000000004E-2</v>
      </c>
      <c r="BF23" s="696">
        <v>0.08</v>
      </c>
      <c r="BG23" s="696">
        <v>0.08</v>
      </c>
      <c r="BH23" s="696">
        <v>0.08</v>
      </c>
      <c r="BI23" s="751">
        <v>0.09</v>
      </c>
      <c r="BJ23" s="751">
        <v>0.08</v>
      </c>
      <c r="BK23" s="751">
        <v>7.0000000000000007E-2</v>
      </c>
      <c r="BL23" s="751">
        <v>0.15</v>
      </c>
      <c r="BM23" s="751">
        <v>0.09</v>
      </c>
      <c r="BN23" s="751">
        <v>7.0000000000000007E-2</v>
      </c>
      <c r="BO23" s="751">
        <v>0.08</v>
      </c>
      <c r="BP23" s="819">
        <v>0.08</v>
      </c>
      <c r="BQ23" s="751">
        <v>0.09</v>
      </c>
      <c r="BR23" s="779">
        <v>0.08</v>
      </c>
      <c r="BS23" s="751">
        <f t="shared" si="0"/>
        <v>8.6666666666666656E-2</v>
      </c>
    </row>
    <row r="24" spans="1:71" s="1" customFormat="1" ht="11.25" x14ac:dyDescent="0.2">
      <c r="A24" s="401" t="s">
        <v>235</v>
      </c>
      <c r="B24" s="375"/>
      <c r="C24" s="11"/>
      <c r="D24" s="11"/>
      <c r="E24" s="12"/>
      <c r="F24" s="12"/>
      <c r="G24" s="12"/>
      <c r="H24" s="12"/>
      <c r="I24" s="12"/>
      <c r="J24" s="12"/>
      <c r="K24" s="81"/>
      <c r="L24" s="82"/>
      <c r="M24" s="82"/>
      <c r="N24" s="83"/>
      <c r="O24" s="83"/>
      <c r="P24" s="82"/>
      <c r="Q24" s="82"/>
      <c r="R24" s="83"/>
      <c r="S24" s="82"/>
      <c r="T24" s="82"/>
      <c r="U24" s="84"/>
      <c r="V24" s="98"/>
      <c r="W24" s="98"/>
      <c r="X24" s="98"/>
      <c r="Y24" s="93"/>
      <c r="Z24" s="93"/>
      <c r="AA24" s="93"/>
      <c r="AB24" s="93"/>
      <c r="AC24" s="93"/>
      <c r="AD24" s="93"/>
      <c r="AE24" s="93"/>
      <c r="AF24" s="93"/>
      <c r="AG24" s="93"/>
      <c r="AH24" s="129"/>
      <c r="AI24" s="93"/>
      <c r="AJ24" s="139">
        <v>584959.64</v>
      </c>
      <c r="AK24" s="141">
        <v>585966.01</v>
      </c>
      <c r="AL24" s="141">
        <v>528565.44999999995</v>
      </c>
      <c r="AM24" s="141">
        <v>501252.23</v>
      </c>
      <c r="AN24" s="141">
        <v>474347.98</v>
      </c>
      <c r="AO24" s="139">
        <v>515989.64</v>
      </c>
      <c r="AP24" s="141">
        <v>557410.13</v>
      </c>
      <c r="AQ24" s="157">
        <v>577672.03</v>
      </c>
      <c r="AR24" s="167">
        <v>680511.55</v>
      </c>
      <c r="AS24" s="159">
        <v>633280.68999999994</v>
      </c>
      <c r="AT24" s="159">
        <v>639321.62</v>
      </c>
      <c r="AU24" s="159">
        <v>619890.88</v>
      </c>
      <c r="AV24" s="167">
        <v>615756.31999999995</v>
      </c>
      <c r="AW24" s="182">
        <v>583394.17000000004</v>
      </c>
      <c r="AX24" s="167">
        <v>610138.62</v>
      </c>
      <c r="AY24" s="159">
        <v>623773.84</v>
      </c>
      <c r="AZ24" s="414">
        <v>388648.94</v>
      </c>
      <c r="BA24" s="182">
        <v>423821.23000000004</v>
      </c>
      <c r="BB24" s="167">
        <v>515299.35</v>
      </c>
      <c r="BC24" s="390">
        <v>336069.01</v>
      </c>
      <c r="BD24" s="443">
        <v>352075.52000000002</v>
      </c>
      <c r="BE24" s="443">
        <v>320388.78999999998</v>
      </c>
      <c r="BF24" s="436">
        <v>335131.68</v>
      </c>
      <c r="BG24" s="436">
        <v>375676.67000000004</v>
      </c>
      <c r="BH24" s="436">
        <v>301615.68</v>
      </c>
      <c r="BI24" s="161">
        <v>331848.18</v>
      </c>
      <c r="BJ24" s="161">
        <v>337492.86</v>
      </c>
      <c r="BK24" s="161">
        <v>280735.24</v>
      </c>
      <c r="BL24" s="161">
        <v>726869.44</v>
      </c>
      <c r="BM24" s="161">
        <v>380744.26</v>
      </c>
      <c r="BN24" s="161">
        <v>295234.46000000002</v>
      </c>
      <c r="BO24" s="161">
        <v>361545.42</v>
      </c>
      <c r="BP24" s="408">
        <v>332651.52000000002</v>
      </c>
      <c r="BQ24" s="161">
        <v>364839.46</v>
      </c>
      <c r="BR24" s="775">
        <v>376495.94</v>
      </c>
      <c r="BS24" s="161">
        <f t="shared" si="0"/>
        <v>372145.7608333333</v>
      </c>
    </row>
    <row r="25" spans="1:71" s="1" customFormat="1" ht="11.25" x14ac:dyDescent="0.2">
      <c r="A25" s="401" t="s">
        <v>236</v>
      </c>
      <c r="B25" s="378" t="s">
        <v>238</v>
      </c>
      <c r="C25" s="357" t="s">
        <v>238</v>
      </c>
      <c r="D25" s="357" t="s">
        <v>238</v>
      </c>
      <c r="E25" s="358" t="s">
        <v>238</v>
      </c>
      <c r="F25" s="358" t="s">
        <v>238</v>
      </c>
      <c r="G25" s="358" t="s">
        <v>238</v>
      </c>
      <c r="H25" s="358" t="s">
        <v>238</v>
      </c>
      <c r="I25" s="358" t="s">
        <v>238</v>
      </c>
      <c r="J25" s="358" t="s">
        <v>238</v>
      </c>
      <c r="K25" s="359" t="s">
        <v>238</v>
      </c>
      <c r="L25" s="360" t="s">
        <v>238</v>
      </c>
      <c r="M25" s="360" t="s">
        <v>238</v>
      </c>
      <c r="N25" s="361" t="s">
        <v>238</v>
      </c>
      <c r="O25" s="361" t="s">
        <v>238</v>
      </c>
      <c r="P25" s="360" t="s">
        <v>238</v>
      </c>
      <c r="Q25" s="360" t="s">
        <v>238</v>
      </c>
      <c r="R25" s="361" t="s">
        <v>238</v>
      </c>
      <c r="S25" s="360" t="s">
        <v>238</v>
      </c>
      <c r="T25" s="360" t="s">
        <v>238</v>
      </c>
      <c r="U25" s="362" t="s">
        <v>238</v>
      </c>
      <c r="V25" s="363" t="s">
        <v>238</v>
      </c>
      <c r="W25" s="363" t="s">
        <v>238</v>
      </c>
      <c r="X25" s="363" t="s">
        <v>238</v>
      </c>
      <c r="Y25" s="364" t="s">
        <v>238</v>
      </c>
      <c r="Z25" s="364" t="s">
        <v>238</v>
      </c>
      <c r="AA25" s="364" t="s">
        <v>238</v>
      </c>
      <c r="AB25" s="364" t="s">
        <v>238</v>
      </c>
      <c r="AC25" s="364" t="s">
        <v>238</v>
      </c>
      <c r="AD25" s="364" t="s">
        <v>238</v>
      </c>
      <c r="AE25" s="364" t="s">
        <v>238</v>
      </c>
      <c r="AF25" s="364" t="s">
        <v>238</v>
      </c>
      <c r="AG25" s="364" t="s">
        <v>238</v>
      </c>
      <c r="AH25" s="365" t="s">
        <v>238</v>
      </c>
      <c r="AI25" s="364" t="s">
        <v>238</v>
      </c>
      <c r="AJ25" s="366" t="s">
        <v>238</v>
      </c>
      <c r="AK25" s="367" t="s">
        <v>238</v>
      </c>
      <c r="AL25" s="367" t="s">
        <v>238</v>
      </c>
      <c r="AM25" s="367" t="s">
        <v>238</v>
      </c>
      <c r="AN25" s="367" t="s">
        <v>238</v>
      </c>
      <c r="AO25" s="366" t="s">
        <v>238</v>
      </c>
      <c r="AP25" s="367" t="s">
        <v>238</v>
      </c>
      <c r="AQ25" s="368" t="s">
        <v>238</v>
      </c>
      <c r="AR25" s="369" t="s">
        <v>238</v>
      </c>
      <c r="AS25" s="370" t="s">
        <v>238</v>
      </c>
      <c r="AT25" s="370" t="s">
        <v>238</v>
      </c>
      <c r="AU25" s="370" t="s">
        <v>238</v>
      </c>
      <c r="AV25" s="369" t="s">
        <v>238</v>
      </c>
      <c r="AW25" s="371" t="s">
        <v>238</v>
      </c>
      <c r="AX25" s="369" t="s">
        <v>238</v>
      </c>
      <c r="AY25" s="370" t="s">
        <v>238</v>
      </c>
      <c r="AZ25" s="415" t="s">
        <v>238</v>
      </c>
      <c r="BA25" s="371" t="s">
        <v>238</v>
      </c>
      <c r="BB25" s="369" t="s">
        <v>238</v>
      </c>
      <c r="BC25" s="451">
        <v>5.9299999999999999E-2</v>
      </c>
      <c r="BD25" s="450">
        <v>5.8500000000000003E-2</v>
      </c>
      <c r="BE25" s="652">
        <v>6.1800000000000001E-2</v>
      </c>
      <c r="BF25" s="696">
        <v>7.0000000000000007E-2</v>
      </c>
      <c r="BG25" s="696">
        <v>7.0000000000000007E-2</v>
      </c>
      <c r="BH25" s="696">
        <v>8.3197900014363863E-2</v>
      </c>
      <c r="BI25" s="751">
        <v>0.1</v>
      </c>
      <c r="BJ25" s="751">
        <v>0.09</v>
      </c>
      <c r="BK25" s="751">
        <v>0.08</v>
      </c>
      <c r="BL25" s="751">
        <v>7.0000000000000007E-2</v>
      </c>
      <c r="BM25" s="751">
        <v>7.0000000000000007E-2</v>
      </c>
      <c r="BN25" s="751">
        <v>0.04</v>
      </c>
      <c r="BO25" s="751">
        <v>0.05</v>
      </c>
      <c r="BP25" s="819">
        <v>0.05</v>
      </c>
      <c r="BQ25" s="751">
        <v>0.05</v>
      </c>
      <c r="BR25" s="779">
        <v>0.05</v>
      </c>
      <c r="BS25" s="751">
        <f t="shared" si="0"/>
        <v>6.693315833453034E-2</v>
      </c>
    </row>
    <row r="26" spans="1:71" s="1" customFormat="1" ht="11.25" x14ac:dyDescent="0.2">
      <c r="A26" s="401" t="s">
        <v>233</v>
      </c>
      <c r="B26" s="378" t="s">
        <v>238</v>
      </c>
      <c r="C26" s="357" t="s">
        <v>238</v>
      </c>
      <c r="D26" s="357" t="s">
        <v>238</v>
      </c>
      <c r="E26" s="358" t="s">
        <v>238</v>
      </c>
      <c r="F26" s="358" t="s">
        <v>238</v>
      </c>
      <c r="G26" s="358" t="s">
        <v>238</v>
      </c>
      <c r="H26" s="358" t="s">
        <v>238</v>
      </c>
      <c r="I26" s="358" t="s">
        <v>238</v>
      </c>
      <c r="J26" s="358" t="s">
        <v>238</v>
      </c>
      <c r="K26" s="359" t="s">
        <v>238</v>
      </c>
      <c r="L26" s="360" t="s">
        <v>238</v>
      </c>
      <c r="M26" s="360" t="s">
        <v>238</v>
      </c>
      <c r="N26" s="361" t="s">
        <v>238</v>
      </c>
      <c r="O26" s="361" t="s">
        <v>238</v>
      </c>
      <c r="P26" s="360" t="s">
        <v>238</v>
      </c>
      <c r="Q26" s="360" t="s">
        <v>238</v>
      </c>
      <c r="R26" s="361" t="s">
        <v>238</v>
      </c>
      <c r="S26" s="360" t="s">
        <v>238</v>
      </c>
      <c r="T26" s="360" t="s">
        <v>238</v>
      </c>
      <c r="U26" s="362" t="s">
        <v>238</v>
      </c>
      <c r="V26" s="363" t="s">
        <v>238</v>
      </c>
      <c r="W26" s="363" t="s">
        <v>238</v>
      </c>
      <c r="X26" s="363" t="s">
        <v>238</v>
      </c>
      <c r="Y26" s="364" t="s">
        <v>238</v>
      </c>
      <c r="Z26" s="364" t="s">
        <v>238</v>
      </c>
      <c r="AA26" s="364" t="s">
        <v>238</v>
      </c>
      <c r="AB26" s="364" t="s">
        <v>238</v>
      </c>
      <c r="AC26" s="364" t="s">
        <v>238</v>
      </c>
      <c r="AD26" s="364" t="s">
        <v>238</v>
      </c>
      <c r="AE26" s="364" t="s">
        <v>238</v>
      </c>
      <c r="AF26" s="364" t="s">
        <v>238</v>
      </c>
      <c r="AG26" s="364" t="s">
        <v>238</v>
      </c>
      <c r="AH26" s="365" t="s">
        <v>238</v>
      </c>
      <c r="AI26" s="364" t="s">
        <v>238</v>
      </c>
      <c r="AJ26" s="366" t="s">
        <v>238</v>
      </c>
      <c r="AK26" s="367" t="s">
        <v>238</v>
      </c>
      <c r="AL26" s="367" t="s">
        <v>238</v>
      </c>
      <c r="AM26" s="367" t="s">
        <v>238</v>
      </c>
      <c r="AN26" s="367" t="s">
        <v>238</v>
      </c>
      <c r="AO26" s="366" t="s">
        <v>238</v>
      </c>
      <c r="AP26" s="367" t="s">
        <v>238</v>
      </c>
      <c r="AQ26" s="368" t="s">
        <v>238</v>
      </c>
      <c r="AR26" s="369" t="s">
        <v>238</v>
      </c>
      <c r="AS26" s="370" t="s">
        <v>238</v>
      </c>
      <c r="AT26" s="370" t="s">
        <v>238</v>
      </c>
      <c r="AU26" s="370" t="s">
        <v>238</v>
      </c>
      <c r="AV26" s="369" t="s">
        <v>238</v>
      </c>
      <c r="AW26" s="371" t="s">
        <v>238</v>
      </c>
      <c r="AX26" s="369" t="s">
        <v>238</v>
      </c>
      <c r="AY26" s="370" t="s">
        <v>238</v>
      </c>
      <c r="AZ26" s="415" t="s">
        <v>238</v>
      </c>
      <c r="BA26" s="371" t="s">
        <v>238</v>
      </c>
      <c r="BB26" s="369" t="s">
        <v>238</v>
      </c>
      <c r="BC26" s="391">
        <v>215632.33</v>
      </c>
      <c r="BD26" s="445">
        <v>241535.14</v>
      </c>
      <c r="BE26" s="443">
        <v>283152.88</v>
      </c>
      <c r="BF26" s="436">
        <v>295867.53000000003</v>
      </c>
      <c r="BG26" s="436">
        <v>323232.87</v>
      </c>
      <c r="BH26" s="436">
        <v>326984.88</v>
      </c>
      <c r="BI26" s="161">
        <v>353656.12</v>
      </c>
      <c r="BJ26" s="161">
        <v>360044.04</v>
      </c>
      <c r="BK26" s="161">
        <v>326854.00999999995</v>
      </c>
      <c r="BL26" s="161">
        <v>330347.43</v>
      </c>
      <c r="BM26" s="161">
        <v>303224.46000000002</v>
      </c>
      <c r="BN26" s="161">
        <v>155160.08000000002</v>
      </c>
      <c r="BO26" s="161">
        <v>212990.38000000003</v>
      </c>
      <c r="BP26" s="408">
        <v>204703.13000000003</v>
      </c>
      <c r="BQ26" s="161">
        <v>204278.89000000004</v>
      </c>
      <c r="BR26" s="775">
        <v>212670.92000000004</v>
      </c>
      <c r="BS26" s="161">
        <f t="shared" si="0"/>
        <v>276178.93416666664</v>
      </c>
    </row>
    <row r="27" spans="1:71" s="1" customFormat="1" ht="11.25" x14ac:dyDescent="0.2">
      <c r="A27" s="402" t="s">
        <v>17</v>
      </c>
      <c r="B27" s="379">
        <f>B18/(B4+B5)*31</f>
        <v>35.403769178230903</v>
      </c>
      <c r="C27" s="321">
        <f>C18/(C4+B4+B5+C5)*60</f>
        <v>33.43978692919675</v>
      </c>
      <c r="D27" s="321">
        <f t="shared" ref="D27:AK27" si="55">D18/(B4+B5+C4+C5+D4+D5)*90</f>
        <v>44.116394339923133</v>
      </c>
      <c r="E27" s="322">
        <f t="shared" si="55"/>
        <v>31.511442038505283</v>
      </c>
      <c r="F27" s="322">
        <f t="shared" si="55"/>
        <v>32.752607965685712</v>
      </c>
      <c r="G27" s="323">
        <f t="shared" si="55"/>
        <v>36.221566931116485</v>
      </c>
      <c r="H27" s="323">
        <f t="shared" si="55"/>
        <v>32.609646133193081</v>
      </c>
      <c r="I27" s="323">
        <f t="shared" si="55"/>
        <v>35.091052222902093</v>
      </c>
      <c r="J27" s="323">
        <f t="shared" si="55"/>
        <v>24.498240294621077</v>
      </c>
      <c r="K27" s="324">
        <f t="shared" si="55"/>
        <v>27.130892251574437</v>
      </c>
      <c r="L27" s="325">
        <f t="shared" si="55"/>
        <v>29.449168761638614</v>
      </c>
      <c r="M27" s="325">
        <f t="shared" si="55"/>
        <v>24.91193728035568</v>
      </c>
      <c r="N27" s="326">
        <f t="shared" si="55"/>
        <v>28.9008750799503</v>
      </c>
      <c r="O27" s="326">
        <f t="shared" si="55"/>
        <v>30.121162749124728</v>
      </c>
      <c r="P27" s="325">
        <f t="shared" si="55"/>
        <v>31.652116884530539</v>
      </c>
      <c r="Q27" s="325">
        <f t="shared" si="55"/>
        <v>33.291791913223761</v>
      </c>
      <c r="R27" s="326">
        <f t="shared" si="55"/>
        <v>33.93634489223281</v>
      </c>
      <c r="S27" s="325">
        <f t="shared" si="55"/>
        <v>33.760663649247896</v>
      </c>
      <c r="T27" s="325">
        <f t="shared" si="55"/>
        <v>31.433978111728646</v>
      </c>
      <c r="U27" s="327">
        <f t="shared" si="55"/>
        <v>26.893561494810609</v>
      </c>
      <c r="V27" s="328">
        <f t="shared" si="55"/>
        <v>33.260448939652214</v>
      </c>
      <c r="W27" s="328">
        <f t="shared" si="55"/>
        <v>31.54259203295824</v>
      </c>
      <c r="X27" s="328">
        <f t="shared" si="55"/>
        <v>26.573180985230966</v>
      </c>
      <c r="Y27" s="329">
        <f t="shared" si="55"/>
        <v>29.298217853894265</v>
      </c>
      <c r="Z27" s="329">
        <f t="shared" si="55"/>
        <v>26.66525870473038</v>
      </c>
      <c r="AA27" s="329">
        <f t="shared" si="55"/>
        <v>32.121038356493806</v>
      </c>
      <c r="AB27" s="329">
        <f t="shared" si="55"/>
        <v>29.899231690387573</v>
      </c>
      <c r="AC27" s="329">
        <f t="shared" si="55"/>
        <v>33.424862610347596</v>
      </c>
      <c r="AD27" s="329">
        <f t="shared" si="55"/>
        <v>38.001426764870985</v>
      </c>
      <c r="AE27" s="329">
        <f t="shared" si="55"/>
        <v>31.271476596327243</v>
      </c>
      <c r="AF27" s="329">
        <f t="shared" si="55"/>
        <v>31.028308246827486</v>
      </c>
      <c r="AG27" s="329">
        <f t="shared" si="55"/>
        <v>29.118601338171253</v>
      </c>
      <c r="AH27" s="330">
        <f t="shared" si="55"/>
        <v>34.515418378918817</v>
      </c>
      <c r="AI27" s="329">
        <f t="shared" si="55"/>
        <v>34.959542123781503</v>
      </c>
      <c r="AJ27" s="329">
        <f t="shared" si="55"/>
        <v>36.410761752660818</v>
      </c>
      <c r="AK27" s="330">
        <f t="shared" si="55"/>
        <v>36.151655934490947</v>
      </c>
      <c r="AL27" s="330">
        <f>AL18/(AJ4+AJ5+AK4+AK5+AL4+AL5)*90</f>
        <v>39.026583028124207</v>
      </c>
      <c r="AM27" s="330">
        <f>AM18/(AK4+AK5+AL4+AL5+AM4+AM5)*90</f>
        <v>38.165505370254159</v>
      </c>
      <c r="AN27" s="330">
        <f t="shared" ref="AN27:BD27" si="56">AN18/(AL4+AL5+AM4+AM5+AN4+AN5)*90</f>
        <v>39.327666290568537</v>
      </c>
      <c r="AO27" s="329">
        <f t="shared" si="56"/>
        <v>38.903203939863779</v>
      </c>
      <c r="AP27" s="330">
        <f t="shared" si="56"/>
        <v>41.720665980673665</v>
      </c>
      <c r="AQ27" s="331">
        <f t="shared" si="56"/>
        <v>39.437674252942557</v>
      </c>
      <c r="AR27" s="332">
        <f t="shared" si="56"/>
        <v>38.831492879808359</v>
      </c>
      <c r="AS27" s="333">
        <f t="shared" si="56"/>
        <v>40.125302422473993</v>
      </c>
      <c r="AT27" s="333">
        <f t="shared" si="56"/>
        <v>39.673546446190976</v>
      </c>
      <c r="AU27" s="333">
        <f t="shared" si="56"/>
        <v>41.982533873096486</v>
      </c>
      <c r="AV27" s="332">
        <f t="shared" si="56"/>
        <v>40.42705393092097</v>
      </c>
      <c r="AW27" s="334">
        <f t="shared" si="56"/>
        <v>40.156229992887056</v>
      </c>
      <c r="AX27" s="332">
        <f t="shared" si="56"/>
        <v>41.150655689098791</v>
      </c>
      <c r="AY27" s="333">
        <f t="shared" si="56"/>
        <v>42.174369207438104</v>
      </c>
      <c r="AZ27" s="416">
        <f>AZ18/(AX4+AX5+AY4+AY5+AZ4+AZ5)*90</f>
        <v>40.386631162820599</v>
      </c>
      <c r="BA27" s="334">
        <f>BA18/(AY4+AY5+AZ4+AZ5+BA4+BA5)*90</f>
        <v>41.733875844054573</v>
      </c>
      <c r="BB27" s="332">
        <f t="shared" si="56"/>
        <v>42.453188103538004</v>
      </c>
      <c r="BC27" s="392">
        <f t="shared" si="56"/>
        <v>41.361771054143468</v>
      </c>
      <c r="BD27" s="446">
        <f t="shared" si="56"/>
        <v>43.053108540470156</v>
      </c>
      <c r="BE27" s="447">
        <f t="shared" ref="BE27" si="57">BE18/(BC4+BC5+BD4+BD5+BE4+BE5)*90</f>
        <v>43.194134646977844</v>
      </c>
      <c r="BF27" s="447">
        <f t="shared" ref="BF27" si="58">BF18/(BD4+BD5+BE4+BE5+BF4+BF5)*90</f>
        <v>29.300884017967054</v>
      </c>
      <c r="BG27" s="447">
        <f t="shared" ref="BG27" si="59">BG18/(BE4+BE5+BF4+BF5+BG4+BG5)*90</f>
        <v>29.370095347027302</v>
      </c>
      <c r="BH27" s="447">
        <f t="shared" ref="BH27" si="60">BH18/(BF4+BF5+BG4+BG5+BH4+BH5)*90</f>
        <v>26.431966640903759</v>
      </c>
      <c r="BI27" s="404">
        <f t="shared" ref="BI27" si="61">BI18/(BG4+BG5+BH4+BH5+BI4+BI5)*90</f>
        <v>25.210421072869419</v>
      </c>
      <c r="BJ27" s="404">
        <f t="shared" ref="BJ27" si="62">BJ18/(BH4+BH5+BI4+BI5+BJ4+BJ5)*90</f>
        <v>31.786721789512107</v>
      </c>
      <c r="BK27" s="404">
        <f t="shared" ref="BK27" si="63">BK18/(BI4+BI5+BJ4+BJ5+BK4+BK5)*90</f>
        <v>31.234316166661845</v>
      </c>
      <c r="BL27" s="404">
        <f t="shared" ref="BL27:BN27" si="64">BL18/(BJ4+BJ5+BK4+BK5+BL4+BL5)*90</f>
        <v>33.535058248431049</v>
      </c>
      <c r="BM27" s="404">
        <f t="shared" si="64"/>
        <v>30.834214685585071</v>
      </c>
      <c r="BN27" s="404">
        <f t="shared" si="64"/>
        <v>27.630873930853703</v>
      </c>
      <c r="BO27" s="404">
        <f>BO18/(BM4+BM5+BN4+BN5+BO4+BO5)*90</f>
        <v>26.992522474081117</v>
      </c>
      <c r="BP27" s="417">
        <f>BP18/(BN4+BN5+BO4+BO5+BP4+BP5)*90</f>
        <v>25.727140589790267</v>
      </c>
      <c r="BQ27" s="404">
        <f>BQ18/(BO4+BO5+BP4+BP5+BQ4+BQ5)*90</f>
        <v>23.52847445604862</v>
      </c>
      <c r="BR27" s="780">
        <f>BR18/(BP4+BP5+BQ4+BQ5+BR4+BR5)*90</f>
        <v>26.631421606944915</v>
      </c>
      <c r="BS27" s="404">
        <f t="shared" si="0"/>
        <v>28.242768917392436</v>
      </c>
    </row>
    <row r="28" spans="1:71" s="1" customFormat="1" ht="11.25" x14ac:dyDescent="0.2">
      <c r="A28" s="217" t="s">
        <v>18</v>
      </c>
      <c r="B28" s="380">
        <f>B4/B20*31</f>
        <v>24.980373655475141</v>
      </c>
      <c r="C28" s="240">
        <f>C20/((B4+C4-B5-C5)/60)</f>
        <v>39.294406548168759</v>
      </c>
      <c r="D28" s="240">
        <f t="shared" ref="D28:AH28" si="65">D20/(SUM(B4:D4)/90)</f>
        <v>45.294899797280912</v>
      </c>
      <c r="E28" s="240">
        <f t="shared" si="65"/>
        <v>31.242429561971107</v>
      </c>
      <c r="F28" s="240">
        <f t="shared" si="65"/>
        <v>31.584828219909436</v>
      </c>
      <c r="G28" s="240">
        <f t="shared" si="65"/>
        <v>33.723893688292357</v>
      </c>
      <c r="H28" s="240">
        <f t="shared" si="65"/>
        <v>28.654994340089498</v>
      </c>
      <c r="I28" s="240">
        <f t="shared" si="65"/>
        <v>32.954161096139948</v>
      </c>
      <c r="J28" s="240">
        <f t="shared" si="65"/>
        <v>20.85286144358221</v>
      </c>
      <c r="K28" s="335">
        <f t="shared" si="65"/>
        <v>24.862924419921139</v>
      </c>
      <c r="L28" s="335">
        <f t="shared" si="65"/>
        <v>28.968423086426807</v>
      </c>
      <c r="M28" s="335">
        <f t="shared" si="65"/>
        <v>22.908070650935056</v>
      </c>
      <c r="N28" s="253">
        <f t="shared" si="65"/>
        <v>27.573555468515085</v>
      </c>
      <c r="O28" s="253">
        <f t="shared" si="65"/>
        <v>29.033600548311746</v>
      </c>
      <c r="P28" s="335">
        <f t="shared" si="65"/>
        <v>30.761551897475982</v>
      </c>
      <c r="Q28" s="335">
        <f t="shared" si="65"/>
        <v>31.945812374641477</v>
      </c>
      <c r="R28" s="253">
        <f t="shared" si="65"/>
        <v>32.700205397416632</v>
      </c>
      <c r="S28" s="335">
        <f t="shared" si="65"/>
        <v>32.958302025704917</v>
      </c>
      <c r="T28" s="335">
        <f t="shared" si="65"/>
        <v>29.040006813625656</v>
      </c>
      <c r="U28" s="241">
        <f t="shared" si="65"/>
        <v>23.51401490907665</v>
      </c>
      <c r="V28" s="241">
        <f t="shared" si="65"/>
        <v>29.856093329852996</v>
      </c>
      <c r="W28" s="241">
        <f t="shared" si="65"/>
        <v>27.922435501801832</v>
      </c>
      <c r="X28" s="241">
        <f t="shared" si="65"/>
        <v>21.241078449161122</v>
      </c>
      <c r="Y28" s="240">
        <f t="shared" si="65"/>
        <v>23.819209119416449</v>
      </c>
      <c r="Z28" s="240">
        <f t="shared" si="65"/>
        <v>23.832665918088438</v>
      </c>
      <c r="AA28" s="240">
        <f t="shared" si="65"/>
        <v>29.868722057741145</v>
      </c>
      <c r="AB28" s="240">
        <f t="shared" si="65"/>
        <v>27.122142363599483</v>
      </c>
      <c r="AC28" s="240">
        <f t="shared" si="65"/>
        <v>27.126467152101782</v>
      </c>
      <c r="AD28" s="240">
        <f t="shared" si="65"/>
        <v>30.996970344295189</v>
      </c>
      <c r="AE28" s="240">
        <f t="shared" si="65"/>
        <v>24.316546187349573</v>
      </c>
      <c r="AF28" s="240">
        <f t="shared" si="65"/>
        <v>23.054326178240363</v>
      </c>
      <c r="AG28" s="240">
        <f t="shared" si="65"/>
        <v>20.02516513859533</v>
      </c>
      <c r="AH28" s="241">
        <f t="shared" si="65"/>
        <v>24.223484864397584</v>
      </c>
      <c r="AI28" s="240">
        <f t="shared" ref="AI28:AX28" si="66">AI20/(SUM(AG4:AI4)/90)</f>
        <v>24.900928052525366</v>
      </c>
      <c r="AJ28" s="240">
        <f t="shared" si="66"/>
        <v>25.365654470348783</v>
      </c>
      <c r="AK28" s="241">
        <f t="shared" si="66"/>
        <v>23.882168007470742</v>
      </c>
      <c r="AL28" s="241">
        <f>AL20/(SUM(AJ4:AL4)/90)</f>
        <v>25.829118719015167</v>
      </c>
      <c r="AM28" s="241">
        <f>AM20/(SUM(AK4:AM4)/90)</f>
        <v>24.197421218001747</v>
      </c>
      <c r="AN28" s="241">
        <f t="shared" si="66"/>
        <v>25.038300822186837</v>
      </c>
      <c r="AO28" s="240">
        <f t="shared" si="66"/>
        <v>24.446979822120856</v>
      </c>
      <c r="AP28" s="241">
        <f t="shared" si="66"/>
        <v>27.063921661521228</v>
      </c>
      <c r="AQ28" s="241">
        <f t="shared" si="66"/>
        <v>25.142417331632718</v>
      </c>
      <c r="AR28" s="240">
        <f t="shared" si="66"/>
        <v>24.557006994068455</v>
      </c>
      <c r="AS28" s="241">
        <f t="shared" si="66"/>
        <v>26.094192820894737</v>
      </c>
      <c r="AT28" s="241">
        <f t="shared" si="66"/>
        <v>25.329127599185938</v>
      </c>
      <c r="AU28" s="241">
        <f t="shared" si="66"/>
        <v>26.751090628610616</v>
      </c>
      <c r="AV28" s="404">
        <f t="shared" si="66"/>
        <v>24.320890171294522</v>
      </c>
      <c r="AW28" s="380">
        <f t="shared" si="66"/>
        <v>22.427782301352739</v>
      </c>
      <c r="AX28" s="404">
        <f t="shared" si="66"/>
        <v>24.009161286549677</v>
      </c>
      <c r="AY28" s="382">
        <f t="shared" ref="AY28:BD28" si="67">AY20/(SUM(AW4:AY4)/90)</f>
        <v>25.245832235976724</v>
      </c>
      <c r="AZ28" s="417">
        <f>AZ20/(SUM(AX4:AZ4)/90)</f>
        <v>23.911596584437692</v>
      </c>
      <c r="BA28" s="380">
        <f>BA20/(SUM(AY4:BA4)/90)</f>
        <v>24.947374303487017</v>
      </c>
      <c r="BB28" s="404">
        <f t="shared" si="67"/>
        <v>25.616942069860247</v>
      </c>
      <c r="BC28" s="393">
        <f t="shared" si="67"/>
        <v>24.345462871451566</v>
      </c>
      <c r="BD28" s="447">
        <f t="shared" si="67"/>
        <v>26.558005509973967</v>
      </c>
      <c r="BE28" s="447">
        <f t="shared" ref="BE28" si="68">BE20/(SUM(BC4:BE4)/90)</f>
        <v>27.628462749026504</v>
      </c>
      <c r="BF28" s="447">
        <f t="shared" ref="BF28" si="69">BF20/(SUM(BD4:BF4)/90)</f>
        <v>23.276581272604528</v>
      </c>
      <c r="BG28" s="447">
        <f t="shared" ref="BG28:BH28" si="70">BG20/(SUM(BE4:BG4)/90)</f>
        <v>24.613934607245064</v>
      </c>
      <c r="BH28" s="447">
        <f t="shared" si="70"/>
        <v>21.374871472415744</v>
      </c>
      <c r="BI28" s="404">
        <f>BI20/(SUM(BG4:BI4)/90)</f>
        <v>20.426147831501364</v>
      </c>
      <c r="BJ28" s="404">
        <f t="shared" ref="BJ28:BN28" si="71">BJ20/(SUM(BH4:BJ4)/90)</f>
        <v>25.138918218789229</v>
      </c>
      <c r="BK28" s="404">
        <f t="shared" si="71"/>
        <v>25.192624164840726</v>
      </c>
      <c r="BL28" s="404">
        <f t="shared" si="71"/>
        <v>28.425226571179707</v>
      </c>
      <c r="BM28" s="404">
        <f t="shared" si="71"/>
        <v>24.86783367791374</v>
      </c>
      <c r="BN28" s="404">
        <f t="shared" si="71"/>
        <v>22.580476048152896</v>
      </c>
      <c r="BO28" s="404">
        <f>BO20/(SUM(BM4:BO4)/90)</f>
        <v>22.209137115204964</v>
      </c>
      <c r="BP28" s="417">
        <f>BP20/(SUM(BN4:BP4)/90)</f>
        <v>20.928784315760932</v>
      </c>
      <c r="BQ28" s="404">
        <f>BQ20/(SUM(BO4:BQ4)/90)</f>
        <v>18.66669854735629</v>
      </c>
      <c r="BR28" s="780">
        <f>BR20/(SUM(BP4:BR4)/90)</f>
        <v>21.622687289253758</v>
      </c>
      <c r="BS28" s="404">
        <f t="shared" si="0"/>
        <v>23.0039449883012</v>
      </c>
    </row>
    <row r="29" spans="1:71" s="1" customFormat="1" ht="11.25" x14ac:dyDescent="0.2">
      <c r="A29" s="217" t="s">
        <v>292</v>
      </c>
      <c r="B29" s="380"/>
      <c r="C29" s="240"/>
      <c r="D29" s="240"/>
      <c r="E29" s="240"/>
      <c r="F29" s="240"/>
      <c r="G29" s="240"/>
      <c r="H29" s="240"/>
      <c r="I29" s="240"/>
      <c r="J29" s="240"/>
      <c r="K29" s="335"/>
      <c r="L29" s="335"/>
      <c r="M29" s="335"/>
      <c r="N29" s="253"/>
      <c r="O29" s="253"/>
      <c r="P29" s="335"/>
      <c r="Q29" s="335"/>
      <c r="R29" s="253"/>
      <c r="S29" s="335"/>
      <c r="T29" s="335"/>
      <c r="U29" s="241"/>
      <c r="V29" s="241"/>
      <c r="W29" s="241"/>
      <c r="X29" s="241"/>
      <c r="Y29" s="240"/>
      <c r="Z29" s="240"/>
      <c r="AA29" s="240"/>
      <c r="AB29" s="240"/>
      <c r="AC29" s="240"/>
      <c r="AD29" s="240"/>
      <c r="AE29" s="240"/>
      <c r="AF29" s="240"/>
      <c r="AG29" s="240"/>
      <c r="AH29" s="241"/>
      <c r="AI29" s="240"/>
      <c r="AJ29" s="240"/>
      <c r="AK29" s="241"/>
      <c r="AL29" s="241"/>
      <c r="AM29" s="241"/>
      <c r="AN29" s="241"/>
      <c r="AO29" s="240"/>
      <c r="AP29" s="241"/>
      <c r="AQ29" s="241"/>
      <c r="AR29" s="240"/>
      <c r="AS29" s="241"/>
      <c r="AT29" s="241"/>
      <c r="AU29" s="241"/>
      <c r="AV29" s="404"/>
      <c r="AW29" s="380"/>
      <c r="AX29" s="404"/>
      <c r="AY29" s="382"/>
      <c r="AZ29" s="417"/>
      <c r="BA29" s="380"/>
      <c r="BB29" s="404"/>
      <c r="BC29" s="393"/>
      <c r="BD29" s="447"/>
      <c r="BE29" s="447"/>
      <c r="BF29" s="447"/>
      <c r="BG29" s="447">
        <v>22.899689586391641</v>
      </c>
      <c r="BH29" s="447">
        <f>SUM('AR - Enterprise'!B123:B128)/SUM(BF4:BH4)*90</f>
        <v>19.596527052833817</v>
      </c>
      <c r="BI29" s="770">
        <f>SUM('AR - Enterprise'!B111:B116)/SUM(BG4:BI4)*90</f>
        <v>18.470282709011748</v>
      </c>
      <c r="BJ29" s="770">
        <f>SUM('AR - Enterprise'!B99:B104)/SUM(BH4:BJ4)*90</f>
        <v>22.907619881052216</v>
      </c>
      <c r="BK29" s="770">
        <f>SUM('AR - Enterprise'!B87:B92)/SUM(BI4:BK4)*90</f>
        <v>23.170239248083437</v>
      </c>
      <c r="BL29" s="770">
        <f>SUM('AR - Enterprise'!B75:B80)/SUM(BJ4:BL4)*90</f>
        <v>26.468063351824661</v>
      </c>
      <c r="BM29" s="770">
        <f>SUM('AR - Enterprise'!B63:B68)/SUM(BK4:BM4)*90</f>
        <v>23.150231047412333</v>
      </c>
      <c r="BN29" s="770">
        <f>SUM('AR - Enterprise'!B51:B56)/SUM(BL4:BN4)*90</f>
        <v>21.72263893673944</v>
      </c>
      <c r="BO29" s="770">
        <f>SUM('AR - Enterprise'!B39:B44)/SUM(BM4:BO4)*90</f>
        <v>21.105940702234129</v>
      </c>
      <c r="BP29" s="820">
        <f>SUM('AR - Enterprise'!B27:B32)/SUM(BN4:BP4)*90</f>
        <v>19.938357358643771</v>
      </c>
      <c r="BQ29" s="770">
        <f>SUM('AR - Enterprise'!B15:B20)/SUM(BO4:BQ4)*90</f>
        <v>17.718037978158584</v>
      </c>
      <c r="BR29" s="781">
        <f>SUM('AR - Enterprise'!B3:B8)/SUM(BP4:BR4)*90</f>
        <v>20.59198006140322</v>
      </c>
      <c r="BS29" s="404">
        <f t="shared" si="0"/>
        <v>21.478300659482414</v>
      </c>
    </row>
    <row r="30" spans="1:71" s="1" customFormat="1" ht="11.25" x14ac:dyDescent="0.2">
      <c r="A30" s="217" t="s">
        <v>294</v>
      </c>
      <c r="B30" s="380"/>
      <c r="C30" s="240"/>
      <c r="D30" s="240"/>
      <c r="E30" s="240"/>
      <c r="F30" s="240"/>
      <c r="G30" s="240"/>
      <c r="H30" s="240"/>
      <c r="I30" s="240"/>
      <c r="J30" s="240"/>
      <c r="K30" s="335"/>
      <c r="L30" s="335"/>
      <c r="M30" s="335"/>
      <c r="N30" s="253"/>
      <c r="O30" s="253"/>
      <c r="P30" s="335"/>
      <c r="Q30" s="335"/>
      <c r="R30" s="253"/>
      <c r="S30" s="335"/>
      <c r="T30" s="335"/>
      <c r="U30" s="241"/>
      <c r="V30" s="241"/>
      <c r="W30" s="241"/>
      <c r="X30" s="241"/>
      <c r="Y30" s="240"/>
      <c r="Z30" s="240"/>
      <c r="AA30" s="240"/>
      <c r="AB30" s="240"/>
      <c r="AC30" s="240"/>
      <c r="AD30" s="240"/>
      <c r="AE30" s="240"/>
      <c r="AF30" s="240"/>
      <c r="AG30" s="240"/>
      <c r="AH30" s="241"/>
      <c r="AI30" s="240"/>
      <c r="AJ30" s="240"/>
      <c r="AK30" s="241"/>
      <c r="AL30" s="241"/>
      <c r="AM30" s="241"/>
      <c r="AN30" s="241"/>
      <c r="AO30" s="240"/>
      <c r="AP30" s="241"/>
      <c r="AQ30" s="241"/>
      <c r="AR30" s="240"/>
      <c r="AS30" s="241"/>
      <c r="AT30" s="241"/>
      <c r="AU30" s="241"/>
      <c r="AV30" s="404"/>
      <c r="AW30" s="380"/>
      <c r="AX30" s="404"/>
      <c r="AY30" s="382"/>
      <c r="AZ30" s="417"/>
      <c r="BA30" s="380"/>
      <c r="BB30" s="404"/>
      <c r="BC30" s="393"/>
      <c r="BD30" s="447"/>
      <c r="BE30" s="447"/>
      <c r="BF30" s="447"/>
      <c r="BG30" s="447">
        <v>1.7142450208534259</v>
      </c>
      <c r="BH30" s="447">
        <f>'AR - Enterprise'!B129/SUM('KPIs - Enterprise'!BF4:BH4)*90</f>
        <v>1.7783444195819238</v>
      </c>
      <c r="BI30" s="404">
        <f>'AR - Enterprise'!B117/SUM('KPIs - Enterprise'!BG4:BI4)*90</f>
        <v>1.955865288402078</v>
      </c>
      <c r="BJ30" s="404">
        <f>'AR - Enterprise'!B105/SUM('KPIs - Enterprise'!BH4:BJ4)*90</f>
        <v>2.2312983377370088</v>
      </c>
      <c r="BK30" s="404">
        <f>'AR - Enterprise'!B93/SUM('KPIs - Enterprise'!BI4:BK4)*90</f>
        <v>2.0223849167572858</v>
      </c>
      <c r="BL30" s="404">
        <f>'AR - Enterprise'!B81/SUM('KPIs - Enterprise'!BJ4:BL4)*90</f>
        <v>1.9571632193550481</v>
      </c>
      <c r="BM30" s="404">
        <f>'AR - Enterprise'!B69/SUM('KPIs - Enterprise'!BK4:BM4)*90</f>
        <v>1.7176026305014096</v>
      </c>
      <c r="BN30" s="404">
        <f>'AR - Enterprise'!B57/SUM('KPIs - Enterprise'!BL4:BN4)*90</f>
        <v>0.85783711141345442</v>
      </c>
      <c r="BO30" s="404">
        <f>'AR - Enterprise'!B45/SUM('KPIs - Enterprise'!BM4:BO4)*90</f>
        <v>1.1031964129708349</v>
      </c>
      <c r="BP30" s="417">
        <f>'AR - Enterprise'!B33/SUM('KPIs - Enterprise'!BN4:BP4)*90</f>
        <v>0.990426957117157</v>
      </c>
      <c r="BQ30" s="404">
        <f>'AR - Enterprise'!B21/SUM('KPIs - Enterprise'!BO4:BQ4)*90</f>
        <v>0.94866056919770514</v>
      </c>
      <c r="BR30" s="780">
        <f>'AR - Enterprise'!B9/SUM('KPIs - Enterprise'!BP4:BR4)*90</f>
        <v>1.0307072278505405</v>
      </c>
      <c r="BS30" s="404">
        <f t="shared" si="0"/>
        <v>1.5256443426448227</v>
      </c>
    </row>
    <row r="31" spans="1:71" s="1" customFormat="1" ht="11.25" x14ac:dyDescent="0.2">
      <c r="A31" s="217" t="s">
        <v>154</v>
      </c>
      <c r="B31" s="380" t="e">
        <f>B19/(SUM(#REF!)/90)</f>
        <v>#REF!</v>
      </c>
      <c r="C31" s="240">
        <f t="shared" ref="C31:AX31" si="72">C19/(SUM(A5:C5)/90)</f>
        <v>45.258886767808704</v>
      </c>
      <c r="D31" s="240">
        <f t="shared" si="72"/>
        <v>34.768521665250631</v>
      </c>
      <c r="E31" s="240">
        <f t="shared" si="72"/>
        <v>34.109613491992484</v>
      </c>
      <c r="F31" s="240">
        <f t="shared" si="72"/>
        <v>44.887836520686989</v>
      </c>
      <c r="G31" s="240">
        <f t="shared" si="72"/>
        <v>63.52647325475975</v>
      </c>
      <c r="H31" s="240">
        <f t="shared" si="72"/>
        <v>71.079634643786477</v>
      </c>
      <c r="I31" s="240">
        <f t="shared" si="72"/>
        <v>53.132233208770124</v>
      </c>
      <c r="J31" s="240">
        <f t="shared" si="72"/>
        <v>54.373065023204745</v>
      </c>
      <c r="K31" s="335">
        <f t="shared" si="72"/>
        <v>45.012798301973383</v>
      </c>
      <c r="L31" s="335">
        <f t="shared" si="72"/>
        <v>33.300212830998341</v>
      </c>
      <c r="M31" s="335">
        <f t="shared" si="72"/>
        <v>39.27914705469744</v>
      </c>
      <c r="N31" s="253">
        <f t="shared" si="72"/>
        <v>37.260170453861498</v>
      </c>
      <c r="O31" s="253">
        <f t="shared" si="72"/>
        <v>37.308348683300444</v>
      </c>
      <c r="P31" s="335">
        <f t="shared" si="72"/>
        <v>38.849617607985344</v>
      </c>
      <c r="Q31" s="335">
        <f t="shared" si="72"/>
        <v>47.026262109453775</v>
      </c>
      <c r="R31" s="253">
        <f t="shared" si="72"/>
        <v>48.472375841102561</v>
      </c>
      <c r="S31" s="335">
        <f t="shared" si="72"/>
        <v>42.330936750683804</v>
      </c>
      <c r="T31" s="335">
        <f t="shared" si="72"/>
        <v>57.301698978192775</v>
      </c>
      <c r="U31" s="241">
        <f t="shared" si="72"/>
        <v>61.888838218394881</v>
      </c>
      <c r="V31" s="241">
        <f t="shared" si="72"/>
        <v>71.154433964101727</v>
      </c>
      <c r="W31" s="241">
        <f t="shared" si="72"/>
        <v>71.225905207626582</v>
      </c>
      <c r="X31" s="241">
        <f t="shared" si="72"/>
        <v>81.779764375534114</v>
      </c>
      <c r="Y31" s="240">
        <f t="shared" si="72"/>
        <v>81.607157517632587</v>
      </c>
      <c r="Z31" s="240">
        <f t="shared" si="72"/>
        <v>49.64783778364172</v>
      </c>
      <c r="AA31" s="240">
        <f t="shared" si="72"/>
        <v>51.076345181233215</v>
      </c>
      <c r="AB31" s="240">
        <f t="shared" si="72"/>
        <v>55.0962269389574</v>
      </c>
      <c r="AC31" s="240">
        <f t="shared" si="72"/>
        <v>102.4998492667462</v>
      </c>
      <c r="AD31" s="240">
        <f t="shared" si="72"/>
        <v>124.40304607557786</v>
      </c>
      <c r="AE31" s="240">
        <f t="shared" si="72"/>
        <v>122.27476501084284</v>
      </c>
      <c r="AF31" s="240">
        <f t="shared" si="72"/>
        <v>140.427200387856</v>
      </c>
      <c r="AG31" s="240">
        <f t="shared" si="72"/>
        <v>152.23622848416113</v>
      </c>
      <c r="AH31" s="241">
        <f t="shared" si="72"/>
        <v>180.4820004743361</v>
      </c>
      <c r="AI31" s="240">
        <f t="shared" si="72"/>
        <v>178.26406381547213</v>
      </c>
      <c r="AJ31" s="240">
        <f t="shared" si="72"/>
        <v>198.54366778043058</v>
      </c>
      <c r="AK31" s="241">
        <f t="shared" si="72"/>
        <v>210.74002310735503</v>
      </c>
      <c r="AL31" s="241">
        <f t="shared" si="72"/>
        <v>199.93759156163597</v>
      </c>
      <c r="AM31" s="241">
        <f t="shared" si="72"/>
        <v>189.15897224115886</v>
      </c>
      <c r="AN31" s="241">
        <f t="shared" si="72"/>
        <v>196.18255865893599</v>
      </c>
      <c r="AO31" s="240">
        <f t="shared" si="72"/>
        <v>214.87455370523995</v>
      </c>
      <c r="AP31" s="241">
        <f t="shared" si="72"/>
        <v>251.54685456152743</v>
      </c>
      <c r="AQ31" s="336">
        <f t="shared" si="72"/>
        <v>256.04598912298104</v>
      </c>
      <c r="AR31" s="336">
        <f t="shared" si="72"/>
        <v>270.73403038522861</v>
      </c>
      <c r="AS31" s="336">
        <f t="shared" si="72"/>
        <v>275.65184398949947</v>
      </c>
      <c r="AT31" s="336">
        <f t="shared" si="72"/>
        <v>285.67784178016331</v>
      </c>
      <c r="AU31" s="336">
        <f t="shared" si="72"/>
        <v>299.60049833131973</v>
      </c>
      <c r="AV31" s="405">
        <f t="shared" si="72"/>
        <v>300.66147665978156</v>
      </c>
      <c r="AW31" s="381">
        <f t="shared" si="72"/>
        <v>303.38250532544907</v>
      </c>
      <c r="AX31" s="405">
        <f t="shared" si="72"/>
        <v>242.94268551151785</v>
      </c>
      <c r="AY31" s="382">
        <f>AY19/(SUM(AW5:AY5)/90)</f>
        <v>245.38033126783179</v>
      </c>
      <c r="AZ31" s="417">
        <f>AZ19/(SUM(AX5:AZ5)/90)</f>
        <v>251.91408474412182</v>
      </c>
      <c r="BA31" s="382">
        <f>BA19/(SUM(AY5:BA5)/90)</f>
        <v>309.36464313432731</v>
      </c>
      <c r="BB31" s="417">
        <f t="shared" ref="BB31:BE31" si="73">BB19/(SUM(AZ5:BB5)/90)</f>
        <v>327.24547033367514</v>
      </c>
      <c r="BC31" s="382">
        <f t="shared" si="73"/>
        <v>335.48298657346515</v>
      </c>
      <c r="BD31" s="448">
        <f t="shared" si="73"/>
        <v>345.60950562464132</v>
      </c>
      <c r="BE31" s="447">
        <f t="shared" si="73"/>
        <v>333.3531836628398</v>
      </c>
      <c r="BF31" s="447">
        <f>BF19/(SUM(BC5:BF5)/90)</f>
        <v>109.65993500137945</v>
      </c>
      <c r="BG31" s="447">
        <v>94.623139298771278</v>
      </c>
      <c r="BH31" s="447">
        <f>BH19/(SUM(BF5:BH5)/90)</f>
        <v>123.58922660821838</v>
      </c>
      <c r="BI31" s="404">
        <f>BI19/(SUM(BG5:BI5)/90)</f>
        <v>112.09704284684489</v>
      </c>
      <c r="BJ31" s="404">
        <f t="shared" ref="BJ31:BM31" si="74">BJ19/(SUM(BH5:BJ5)/90)</f>
        <v>127.64833921039163</v>
      </c>
      <c r="BK31" s="404">
        <f t="shared" si="74"/>
        <v>115.30866952139021</v>
      </c>
      <c r="BL31" s="404">
        <f t="shared" si="74"/>
        <v>106.52977810597295</v>
      </c>
      <c r="BM31" s="404">
        <f t="shared" si="74"/>
        <v>131.14146771744623</v>
      </c>
      <c r="BN31" s="404">
        <f>BN19/(SUM(BL5:BN5)/90)</f>
        <v>115.62148089405711</v>
      </c>
      <c r="BO31" s="404">
        <f>BO19/(SUM(BM5:BO5)/90)</f>
        <v>107.91841986333199</v>
      </c>
      <c r="BP31" s="417">
        <f>BP19/(SUM(BN5:BP5)/90)</f>
        <v>110.14995580944053</v>
      </c>
      <c r="BQ31" s="404">
        <f>BQ19/(SUM(BO5:BQ5)/90)</f>
        <v>110.81545021249752</v>
      </c>
      <c r="BR31" s="780">
        <f>BR19/(SUM(BP5:BR5)/90)</f>
        <v>118.65780536728374</v>
      </c>
      <c r="BS31" s="404">
        <f t="shared" si="0"/>
        <v>114.5083979546372</v>
      </c>
    </row>
    <row r="32" spans="1:71" s="1" customFormat="1" ht="11.25" x14ac:dyDescent="0.2">
      <c r="A32" s="217" t="s">
        <v>292</v>
      </c>
      <c r="B32" s="697"/>
      <c r="C32" s="698"/>
      <c r="D32" s="698"/>
      <c r="E32" s="698"/>
      <c r="F32" s="698"/>
      <c r="G32" s="698"/>
      <c r="H32" s="698"/>
      <c r="I32" s="698"/>
      <c r="J32" s="698"/>
      <c r="K32" s="699"/>
      <c r="L32" s="699"/>
      <c r="M32" s="699"/>
      <c r="N32" s="700"/>
      <c r="O32" s="700"/>
      <c r="P32" s="699"/>
      <c r="Q32" s="699"/>
      <c r="R32" s="700"/>
      <c r="S32" s="699"/>
      <c r="T32" s="699"/>
      <c r="U32" s="701"/>
      <c r="V32" s="701"/>
      <c r="W32" s="701"/>
      <c r="X32" s="701"/>
      <c r="Y32" s="698"/>
      <c r="Z32" s="698"/>
      <c r="AA32" s="698"/>
      <c r="AB32" s="698"/>
      <c r="AC32" s="698"/>
      <c r="AD32" s="698"/>
      <c r="AE32" s="698"/>
      <c r="AF32" s="698"/>
      <c r="AG32" s="698"/>
      <c r="AH32" s="701"/>
      <c r="AI32" s="698"/>
      <c r="AJ32" s="698"/>
      <c r="AK32" s="701"/>
      <c r="AL32" s="701"/>
      <c r="AM32" s="701"/>
      <c r="AN32" s="701"/>
      <c r="AO32" s="698"/>
      <c r="AP32" s="701"/>
      <c r="AQ32" s="702"/>
      <c r="AR32" s="702"/>
      <c r="AS32" s="702"/>
      <c r="AT32" s="702"/>
      <c r="AU32" s="702"/>
      <c r="AV32" s="703"/>
      <c r="AW32" s="704"/>
      <c r="AX32" s="703"/>
      <c r="AY32" s="705"/>
      <c r="AZ32" s="416"/>
      <c r="BA32" s="705"/>
      <c r="BB32" s="416"/>
      <c r="BC32" s="705"/>
      <c r="BD32" s="706"/>
      <c r="BE32" s="446"/>
      <c r="BF32" s="446"/>
      <c r="BG32" s="447">
        <v>62.741403540624717</v>
      </c>
      <c r="BH32" s="447">
        <f>SUM('AR - Enterprise'!D123:D128)/SUM(BF5:BH5)*90</f>
        <v>65.646020480709481</v>
      </c>
      <c r="BI32" s="404">
        <f>SUM('AR - Enterprise'!D114:D116)/SUM(BG5:BI5)*90</f>
        <v>31.543794445960771</v>
      </c>
      <c r="BJ32" s="404">
        <f>SUM('AR - Enterprise'!D99:D104)/SUM(BH5:BJ5)*90</f>
        <v>63.696161505688004</v>
      </c>
      <c r="BK32" s="404">
        <f>SUM('AR - Enterprise'!D87:D92)/SUM(BI5:BK5)*90</f>
        <v>60.197366079275561</v>
      </c>
      <c r="BL32" s="404">
        <f>SUM('AR - Enterprise'!D75:D80)/SUM(BJ5:BL5)*90</f>
        <v>44.531882972619023</v>
      </c>
      <c r="BM32" s="404">
        <f>SUM('AR - Enterprise'!D63:D68)/SUM(BK5:BM5)*90</f>
        <v>70.113895075181318</v>
      </c>
      <c r="BN32" s="404">
        <f>SUM('AR - Enterprise'!D51:D56)/SUM(BL5:BN5)*90</f>
        <v>57.941049312925479</v>
      </c>
      <c r="BO32" s="404">
        <f>SUM('AR - Enterprise'!D39:D44)/SUM(BM5:BO5)*90</f>
        <v>64.126816284934009</v>
      </c>
      <c r="BP32" s="417">
        <f>SUM('AR - Enterprise'!D27:D32)/SUM(BN5:BP5)*90</f>
        <v>70.82699540518044</v>
      </c>
      <c r="BQ32" s="404">
        <f>SUM('AR - Enterprise'!D15:D20)/SUM(BO5:BQ5)*90</f>
        <v>73.742963538319657</v>
      </c>
      <c r="BR32" s="780">
        <f>SUM('AR - Enterprise'!D3:D8)/SUM(BP5:BR5)*90</f>
        <v>79.748612518530905</v>
      </c>
      <c r="BS32" s="404">
        <f t="shared" si="0"/>
        <v>62.071413429995793</v>
      </c>
    </row>
    <row r="33" spans="1:71" s="1" customFormat="1" ht="11.25" x14ac:dyDescent="0.2">
      <c r="A33" s="217" t="s">
        <v>293</v>
      </c>
      <c r="B33" s="697"/>
      <c r="C33" s="698"/>
      <c r="D33" s="698"/>
      <c r="E33" s="698"/>
      <c r="F33" s="698"/>
      <c r="G33" s="698"/>
      <c r="H33" s="698"/>
      <c r="I33" s="698"/>
      <c r="J33" s="698"/>
      <c r="K33" s="699"/>
      <c r="L33" s="699"/>
      <c r="M33" s="699"/>
      <c r="N33" s="700"/>
      <c r="O33" s="700"/>
      <c r="P33" s="699"/>
      <c r="Q33" s="699"/>
      <c r="R33" s="700"/>
      <c r="S33" s="699"/>
      <c r="T33" s="699"/>
      <c r="U33" s="701"/>
      <c r="V33" s="701"/>
      <c r="W33" s="701"/>
      <c r="X33" s="701"/>
      <c r="Y33" s="698"/>
      <c r="Z33" s="698"/>
      <c r="AA33" s="698"/>
      <c r="AB33" s="698"/>
      <c r="AC33" s="698"/>
      <c r="AD33" s="698"/>
      <c r="AE33" s="698"/>
      <c r="AF33" s="698"/>
      <c r="AG33" s="698"/>
      <c r="AH33" s="701"/>
      <c r="AI33" s="698"/>
      <c r="AJ33" s="698"/>
      <c r="AK33" s="701"/>
      <c r="AL33" s="701"/>
      <c r="AM33" s="701"/>
      <c r="AN33" s="701"/>
      <c r="AO33" s="698"/>
      <c r="AP33" s="701"/>
      <c r="AQ33" s="702"/>
      <c r="AR33" s="702"/>
      <c r="AS33" s="702"/>
      <c r="AT33" s="702"/>
      <c r="AU33" s="702"/>
      <c r="AV33" s="703"/>
      <c r="AW33" s="704"/>
      <c r="AX33" s="703"/>
      <c r="AY33" s="705"/>
      <c r="AZ33" s="416"/>
      <c r="BA33" s="705"/>
      <c r="BB33" s="416"/>
      <c r="BC33" s="705"/>
      <c r="BD33" s="706"/>
      <c r="BE33" s="446"/>
      <c r="BF33" s="446"/>
      <c r="BG33" s="447">
        <v>58.656860056530149</v>
      </c>
      <c r="BH33" s="447">
        <f>'AR - Enterprise'!D129/SUM(BF5:BH5)*90</f>
        <v>57.943206127508859</v>
      </c>
      <c r="BI33" s="404">
        <f>'AR - Enterprise'!D117/SUM(BG5:BI5)*90</f>
        <v>60.418209549771106</v>
      </c>
      <c r="BJ33" s="404">
        <f>'AR - Enterprise'!D105/SUM(BH5:BJ5)*90</f>
        <v>63.952177704703622</v>
      </c>
      <c r="BK33" s="404">
        <f>'AR - Enterprise'!D93/SUM(BI5:BK5)*90</f>
        <v>55.111303442114661</v>
      </c>
      <c r="BL33" s="404">
        <f>'AR - Enterprise'!D81/SUM(BJ5:BL5)*90</f>
        <v>61.997895133353929</v>
      </c>
      <c r="BM33" s="404">
        <f>'AR - Enterprise'!D69/SUM(BK5:BM5)*90</f>
        <v>61.027572642264929</v>
      </c>
      <c r="BN33" s="404">
        <f>'AR - Enterprise'!D57/SUM(BL5:BN5)*90</f>
        <v>57.680431581131636</v>
      </c>
      <c r="BO33" s="404">
        <f>'AR - Enterprise'!D45/SUM(BM5:BO5)*90</f>
        <v>43.791603578397996</v>
      </c>
      <c r="BP33" s="417">
        <f>'AR - Enterprise'!D33/SUM(BN5:BP5)*90</f>
        <v>39.322960404260094</v>
      </c>
      <c r="BQ33" s="404">
        <f>'AR - Enterprise'!D21/SUM(BO5:BQ5)*90</f>
        <v>37.07248667417786</v>
      </c>
      <c r="BR33" s="780">
        <f>'AR - Enterprise'!D9/SUM(BP5:BR5)*90</f>
        <v>38.909192848752838</v>
      </c>
      <c r="BS33" s="404">
        <f t="shared" si="0"/>
        <v>52.990324978580645</v>
      </c>
    </row>
    <row r="34" spans="1:71" s="1" customFormat="1" ht="12" thickBot="1" x14ac:dyDescent="0.25">
      <c r="A34" s="403" t="s">
        <v>155</v>
      </c>
      <c r="B34" s="426">
        <f t="shared" ref="B34:AX34" si="75">B8/(B4+B5-B10-B11)</f>
        <v>0</v>
      </c>
      <c r="C34" s="427">
        <f t="shared" si="75"/>
        <v>0</v>
      </c>
      <c r="D34" s="427">
        <f t="shared" si="75"/>
        <v>0</v>
      </c>
      <c r="E34" s="427">
        <f t="shared" si="75"/>
        <v>0</v>
      </c>
      <c r="F34" s="427">
        <f t="shared" si="75"/>
        <v>0</v>
      </c>
      <c r="G34" s="427">
        <f t="shared" si="75"/>
        <v>0</v>
      </c>
      <c r="H34" s="427">
        <f t="shared" si="75"/>
        <v>0</v>
      </c>
      <c r="I34" s="427">
        <f t="shared" si="75"/>
        <v>0</v>
      </c>
      <c r="J34" s="427">
        <f t="shared" si="75"/>
        <v>0</v>
      </c>
      <c r="K34" s="428">
        <f t="shared" si="75"/>
        <v>0</v>
      </c>
      <c r="L34" s="428">
        <f t="shared" si="75"/>
        <v>0</v>
      </c>
      <c r="M34" s="428">
        <f t="shared" si="75"/>
        <v>8.362033253064248E-3</v>
      </c>
      <c r="N34" s="429">
        <f t="shared" si="75"/>
        <v>2.29315633196902E-2</v>
      </c>
      <c r="O34" s="429">
        <f t="shared" si="75"/>
        <v>9.7650345872754771E-3</v>
      </c>
      <c r="P34" s="428">
        <f t="shared" si="75"/>
        <v>1.5057122352288108E-3</v>
      </c>
      <c r="Q34" s="428">
        <f t="shared" si="75"/>
        <v>1.58215076895434E-2</v>
      </c>
      <c r="R34" s="429">
        <f t="shared" si="75"/>
        <v>1.0321512126985557E-2</v>
      </c>
      <c r="S34" s="428">
        <f t="shared" si="75"/>
        <v>6.0059011394909198E-3</v>
      </c>
      <c r="T34" s="428">
        <f t="shared" si="75"/>
        <v>3.400880282212191E-2</v>
      </c>
      <c r="U34" s="430">
        <f t="shared" si="75"/>
        <v>2.7349846757378237E-2</v>
      </c>
      <c r="V34" s="430">
        <f t="shared" si="75"/>
        <v>3.5274954157786475E-3</v>
      </c>
      <c r="W34" s="430">
        <f t="shared" si="75"/>
        <v>2.0480768970641012E-2</v>
      </c>
      <c r="X34" s="430">
        <f t="shared" si="75"/>
        <v>5.1083645724874747E-2</v>
      </c>
      <c r="Y34" s="427">
        <f t="shared" si="75"/>
        <v>6.8887041999836321E-2</v>
      </c>
      <c r="Z34" s="427">
        <f t="shared" si="75"/>
        <v>2.9611185862288621E-2</v>
      </c>
      <c r="AA34" s="427">
        <f t="shared" si="75"/>
        <v>1.468313681393925E-2</v>
      </c>
      <c r="AB34" s="427">
        <f t="shared" si="75"/>
        <v>2.9996616103576481E-2</v>
      </c>
      <c r="AC34" s="427">
        <f t="shared" si="75"/>
        <v>3.1739418155342682E-2</v>
      </c>
      <c r="AD34" s="427">
        <f t="shared" si="75"/>
        <v>2.3114940720005698E-2</v>
      </c>
      <c r="AE34" s="427">
        <f t="shared" si="75"/>
        <v>2.9572950080436259E-2</v>
      </c>
      <c r="AF34" s="427">
        <f t="shared" si="75"/>
        <v>2.1417716401887048E-2</v>
      </c>
      <c r="AG34" s="427">
        <f t="shared" si="75"/>
        <v>4.1948260180842224E-2</v>
      </c>
      <c r="AH34" s="430">
        <f t="shared" si="75"/>
        <v>4.7270267039670466E-2</v>
      </c>
      <c r="AI34" s="431">
        <f t="shared" si="75"/>
        <v>2.4644111233219232E-2</v>
      </c>
      <c r="AJ34" s="431">
        <f t="shared" si="75"/>
        <v>4.0901346931592496E-2</v>
      </c>
      <c r="AK34" s="431">
        <f t="shared" si="75"/>
        <v>2.4208553728202128E-2</v>
      </c>
      <c r="AL34" s="431">
        <f t="shared" si="75"/>
        <v>3.8369524954758365E-2</v>
      </c>
      <c r="AM34" s="431">
        <f t="shared" si="75"/>
        <v>2.2655153068301605E-2</v>
      </c>
      <c r="AN34" s="431">
        <f t="shared" si="75"/>
        <v>3.8266012903129976E-2</v>
      </c>
      <c r="AO34" s="431">
        <f t="shared" si="75"/>
        <v>3.2033570678930368E-2</v>
      </c>
      <c r="AP34" s="431">
        <f t="shared" si="75"/>
        <v>3.8140259790045081E-2</v>
      </c>
      <c r="AQ34" s="431">
        <f t="shared" si="75"/>
        <v>2.4403902934387923E-2</v>
      </c>
      <c r="AR34" s="431">
        <f t="shared" si="75"/>
        <v>2.1218268656204107E-2</v>
      </c>
      <c r="AS34" s="431">
        <f t="shared" si="75"/>
        <v>1.0861024837935584E-2</v>
      </c>
      <c r="AT34" s="431">
        <f t="shared" si="75"/>
        <v>2.353105871435611E-2</v>
      </c>
      <c r="AU34" s="431">
        <f t="shared" si="75"/>
        <v>4.8556084738386053E-2</v>
      </c>
      <c r="AV34" s="406">
        <f t="shared" si="75"/>
        <v>3.4900819854989357E-2</v>
      </c>
      <c r="AW34" s="432">
        <f t="shared" si="75"/>
        <v>4.7585792549306061E-2</v>
      </c>
      <c r="AX34" s="406">
        <f t="shared" si="75"/>
        <v>5.3619525259271439E-2</v>
      </c>
      <c r="AY34" s="433">
        <f>AY8/(AY4+AY5-AY10-AY11)</f>
        <v>2.47564770583957E-2</v>
      </c>
      <c r="AZ34" s="418">
        <f>AZ8/(AZ4+AZ5-AZ10-AZ11)</f>
        <v>2.9185797341260672E-2</v>
      </c>
      <c r="BA34" s="434">
        <f t="shared" ref="BA34:BE34" si="76">BA8/(BA4+BA5-BA10-BA11)</f>
        <v>2.3781488831817434E-2</v>
      </c>
      <c r="BB34" s="418">
        <f t="shared" si="76"/>
        <v>3.1647790594830125E-2</v>
      </c>
      <c r="BC34" s="434">
        <f t="shared" si="76"/>
        <v>3.9259754587734161E-2</v>
      </c>
      <c r="BD34" s="449">
        <f t="shared" si="76"/>
        <v>3.5987904090604386E-2</v>
      </c>
      <c r="BE34" s="653">
        <f t="shared" si="76"/>
        <v>1.9935871041771292E-2</v>
      </c>
      <c r="BF34" s="653">
        <f t="shared" ref="BF34:BM34" si="77">BF8/(BF4+BF5-BF10-BF11)</f>
        <v>1.1809755094730577E-2</v>
      </c>
      <c r="BG34" s="653">
        <v>2.9217166492780614E-2</v>
      </c>
      <c r="BH34" s="653">
        <f t="shared" si="77"/>
        <v>6.0181177234998148E-2</v>
      </c>
      <c r="BI34" s="752">
        <f t="shared" si="77"/>
        <v>3.1111927450470204E-2</v>
      </c>
      <c r="BJ34" s="752">
        <f t="shared" si="77"/>
        <v>0.18018740926895488</v>
      </c>
      <c r="BK34" s="752">
        <f t="shared" si="77"/>
        <v>6.4883255328108499E-2</v>
      </c>
      <c r="BL34" s="752">
        <f t="shared" si="77"/>
        <v>4.3903111419392557E-2</v>
      </c>
      <c r="BM34" s="752">
        <f t="shared" si="77"/>
        <v>0.13229407037391333</v>
      </c>
      <c r="BN34" s="752">
        <f t="shared" ref="BN34:BR34" si="78">BN8/(BN4+BN5-BN10-BN11)</f>
        <v>8.7549971540167679E-2</v>
      </c>
      <c r="BO34" s="752">
        <f t="shared" si="78"/>
        <v>6.8314311271581885E-2</v>
      </c>
      <c r="BP34" s="821">
        <f t="shared" si="78"/>
        <v>6.3946628575436842E-2</v>
      </c>
      <c r="BQ34" s="752">
        <f t="shared" si="78"/>
        <v>5.980407655106753E-2</v>
      </c>
      <c r="BR34" s="782">
        <f t="shared" si="78"/>
        <v>5.2846372239168916E-2</v>
      </c>
      <c r="BS34" s="752">
        <f t="shared" si="0"/>
        <v>7.2853289812170097E-2</v>
      </c>
    </row>
    <row r="35" spans="1:71" s="1" customFormat="1" x14ac:dyDescent="0.2">
      <c r="A35" s="17"/>
      <c r="B35" s="120"/>
      <c r="C35" s="120"/>
      <c r="D35" s="120"/>
      <c r="E35" s="120"/>
      <c r="F35" s="120"/>
      <c r="G35" s="120"/>
      <c r="H35" s="120"/>
      <c r="I35" s="120"/>
      <c r="J35" s="120"/>
      <c r="K35" s="121"/>
      <c r="L35" s="121"/>
      <c r="M35" s="121"/>
      <c r="N35" s="122"/>
      <c r="O35" s="122"/>
      <c r="P35" s="121"/>
      <c r="Q35" s="121"/>
      <c r="R35" s="122"/>
      <c r="S35" s="121"/>
      <c r="T35" s="121"/>
      <c r="U35" s="123"/>
      <c r="V35" s="123"/>
      <c r="W35" s="123"/>
      <c r="X35" s="123"/>
      <c r="Y35" s="120"/>
      <c r="Z35" s="120"/>
      <c r="AA35" s="120"/>
      <c r="AB35" s="120"/>
      <c r="AC35" s="120"/>
      <c r="AD35" s="120"/>
      <c r="AE35" s="120"/>
      <c r="AF35" s="120"/>
      <c r="AG35" s="120"/>
      <c r="AH35" s="123"/>
      <c r="AY35" s="92"/>
      <c r="AZ35" s="92"/>
      <c r="BA35" s="108"/>
      <c r="BB35" s="108"/>
      <c r="BE35" s="142"/>
      <c r="BF35" s="142"/>
      <c r="BG35" s="142"/>
      <c r="BH35" s="142"/>
      <c r="BI35" s="142"/>
      <c r="BJ35" s="142"/>
      <c r="BK35" s="142"/>
      <c r="BL35" s="142"/>
    </row>
    <row r="36" spans="1:71" s="1" customFormat="1" ht="258.75" hidden="1" customHeight="1" x14ac:dyDescent="0.2">
      <c r="A36" s="17"/>
      <c r="B36" s="120"/>
      <c r="C36" s="120"/>
      <c r="D36" s="120"/>
      <c r="E36" s="120"/>
      <c r="F36" s="120"/>
      <c r="G36" s="120"/>
      <c r="H36" s="120"/>
      <c r="I36" s="120"/>
      <c r="J36" s="120"/>
      <c r="K36" s="121"/>
      <c r="L36" s="121"/>
      <c r="M36" s="121"/>
      <c r="N36" s="122"/>
      <c r="O36" s="122"/>
      <c r="P36" s="121"/>
      <c r="Q36" s="121"/>
      <c r="R36" s="122"/>
      <c r="S36" s="121"/>
      <c r="T36" s="121"/>
      <c r="U36" s="123"/>
      <c r="V36" s="123"/>
      <c r="W36" s="123"/>
      <c r="X36" s="123"/>
      <c r="Y36" s="120"/>
      <c r="Z36" s="120"/>
      <c r="AA36" s="120"/>
      <c r="AB36" s="120"/>
      <c r="AC36" s="120"/>
      <c r="AD36" s="120"/>
      <c r="AE36" s="120"/>
      <c r="AF36" s="120"/>
      <c r="AG36" s="120"/>
      <c r="AH36" s="123"/>
      <c r="AQ36" s="855" t="s">
        <v>111</v>
      </c>
      <c r="AR36" s="856"/>
      <c r="AS36" s="856"/>
      <c r="AT36" s="856"/>
      <c r="AU36" s="856"/>
      <c r="AV36" s="856"/>
      <c r="AW36" s="856"/>
      <c r="AX36" s="856"/>
      <c r="AY36" s="856"/>
      <c r="AZ36" s="856"/>
      <c r="BA36" s="856"/>
      <c r="BB36" s="856"/>
      <c r="BC36" s="856"/>
      <c r="BD36" s="856"/>
      <c r="BE36" s="856"/>
      <c r="BF36" s="856"/>
      <c r="BG36" s="856"/>
      <c r="BH36" s="856"/>
      <c r="BI36" s="856"/>
      <c r="BJ36" s="856"/>
      <c r="BK36" s="856"/>
      <c r="BL36" s="856"/>
      <c r="BM36" s="856"/>
      <c r="BN36" s="783"/>
      <c r="BO36" s="789"/>
      <c r="BP36" s="790"/>
      <c r="BQ36" s="806"/>
      <c r="BR36" s="825"/>
    </row>
    <row r="37" spans="1:71" s="1" customFormat="1" ht="5.25" hidden="1" customHeight="1" x14ac:dyDescent="0.2">
      <c r="A37" s="17"/>
      <c r="B37" s="120"/>
      <c r="C37" s="120"/>
      <c r="D37" s="120"/>
      <c r="E37" s="120"/>
      <c r="F37" s="120"/>
      <c r="G37" s="120"/>
      <c r="H37" s="120"/>
      <c r="I37" s="120"/>
      <c r="J37" s="120"/>
      <c r="K37" s="121"/>
      <c r="L37" s="121"/>
      <c r="M37" s="121"/>
      <c r="N37" s="122"/>
      <c r="O37" s="122"/>
      <c r="P37" s="121"/>
      <c r="Q37" s="121"/>
      <c r="R37" s="122"/>
      <c r="S37" s="121"/>
      <c r="T37" s="121"/>
      <c r="U37" s="123"/>
      <c r="V37" s="123"/>
      <c r="W37" s="123"/>
      <c r="X37" s="123"/>
      <c r="Y37" s="120"/>
      <c r="Z37" s="120"/>
      <c r="AA37" s="120"/>
      <c r="AB37" s="120"/>
      <c r="AC37" s="120"/>
      <c r="AD37" s="120"/>
      <c r="AE37" s="120"/>
      <c r="AF37" s="120"/>
      <c r="AG37" s="120"/>
      <c r="AH37" s="123"/>
      <c r="AY37" s="92"/>
      <c r="AZ37" s="92"/>
      <c r="BA37" s="108"/>
      <c r="BB37" s="108"/>
      <c r="BE37" s="142"/>
      <c r="BF37" s="142"/>
      <c r="BG37" s="142"/>
      <c r="BH37" s="142"/>
      <c r="BI37" s="142"/>
      <c r="BJ37" s="142"/>
      <c r="BK37" s="142"/>
      <c r="BL37" s="142"/>
    </row>
    <row r="38" spans="1:71" s="1" customFormat="1" ht="239.25" hidden="1" customHeight="1" x14ac:dyDescent="0.2">
      <c r="A38" s="17"/>
      <c r="B38" s="120"/>
      <c r="C38" s="120"/>
      <c r="D38" s="120"/>
      <c r="E38" s="120"/>
      <c r="F38" s="120"/>
      <c r="G38" s="120"/>
      <c r="H38" s="120"/>
      <c r="I38" s="120"/>
      <c r="J38" s="120"/>
      <c r="K38" s="121"/>
      <c r="L38" s="121"/>
      <c r="M38" s="121"/>
      <c r="N38" s="122"/>
      <c r="O38" s="122"/>
      <c r="P38" s="121"/>
      <c r="Q38" s="121"/>
      <c r="R38" s="122"/>
      <c r="S38" s="121"/>
      <c r="T38" s="121"/>
      <c r="U38" s="123"/>
      <c r="V38" s="123"/>
      <c r="W38" s="123"/>
      <c r="X38" s="123"/>
      <c r="Y38" s="120"/>
      <c r="Z38" s="120"/>
      <c r="AA38" s="120"/>
      <c r="AB38" s="120"/>
      <c r="AC38" s="120"/>
      <c r="AD38" s="120"/>
      <c r="AE38" s="120"/>
      <c r="AF38" s="120"/>
      <c r="AG38" s="120"/>
      <c r="AH38" s="123"/>
      <c r="AO38" s="857" t="s">
        <v>109</v>
      </c>
      <c r="AP38" s="857"/>
      <c r="AQ38" s="857"/>
      <c r="AR38" s="857"/>
      <c r="AS38" s="857"/>
      <c r="AT38" s="857"/>
      <c r="AU38" s="857"/>
      <c r="AV38" s="857"/>
      <c r="AW38" s="857"/>
      <c r="AX38" s="857"/>
      <c r="AY38" s="857"/>
      <c r="AZ38" s="857"/>
      <c r="BA38" s="857"/>
      <c r="BB38" s="857"/>
      <c r="BC38" s="857"/>
      <c r="BD38" s="857"/>
      <c r="BE38" s="857"/>
      <c r="BF38" s="857"/>
      <c r="BG38" s="857"/>
      <c r="BH38" s="857"/>
      <c r="BI38" s="857"/>
      <c r="BJ38" s="857"/>
      <c r="BK38" s="857"/>
      <c r="BL38" s="857"/>
      <c r="BM38" s="857"/>
      <c r="BN38" s="785"/>
      <c r="BO38" s="785"/>
      <c r="BP38" s="785"/>
      <c r="BQ38" s="785"/>
      <c r="BR38" s="785"/>
    </row>
    <row r="39" spans="1:71" s="1" customFormat="1" ht="36.75" hidden="1" customHeight="1" x14ac:dyDescent="0.2">
      <c r="A39" s="17"/>
      <c r="B39" s="120"/>
      <c r="C39" s="120"/>
      <c r="D39" s="120"/>
      <c r="E39" s="120"/>
      <c r="F39" s="120"/>
      <c r="G39" s="120"/>
      <c r="H39" s="120"/>
      <c r="I39" s="120"/>
      <c r="J39" s="120"/>
      <c r="K39" s="121"/>
      <c r="L39" s="121"/>
      <c r="M39" s="121"/>
      <c r="N39" s="122"/>
      <c r="O39" s="122"/>
      <c r="P39" s="121"/>
      <c r="Q39" s="121"/>
      <c r="R39" s="122"/>
      <c r="S39" s="121"/>
      <c r="T39" s="121"/>
      <c r="U39" s="123"/>
      <c r="V39" s="123"/>
      <c r="W39" s="123"/>
      <c r="X39" s="123"/>
      <c r="Y39" s="120"/>
      <c r="Z39" s="120"/>
      <c r="AA39" s="120"/>
      <c r="AB39" s="120"/>
      <c r="AC39" s="120"/>
      <c r="AD39" s="120"/>
      <c r="AE39" s="120"/>
      <c r="AF39" s="120"/>
      <c r="AG39" s="120"/>
      <c r="AH39" s="123"/>
      <c r="AL39" s="857" t="s">
        <v>107</v>
      </c>
      <c r="AM39" s="857"/>
      <c r="AN39" s="857"/>
      <c r="AO39" s="857"/>
      <c r="AP39" s="857"/>
      <c r="AQ39" s="857"/>
      <c r="AR39" s="857"/>
      <c r="AS39" s="857"/>
      <c r="AT39" s="857"/>
      <c r="AU39" s="857"/>
      <c r="AV39" s="857"/>
      <c r="AW39" s="857"/>
      <c r="AX39" s="857"/>
      <c r="AY39" s="857"/>
      <c r="AZ39" s="857"/>
      <c r="BA39" s="857"/>
      <c r="BB39" s="857"/>
      <c r="BC39" s="857"/>
      <c r="BD39" s="857"/>
      <c r="BE39" s="857"/>
      <c r="BF39" s="857"/>
      <c r="BG39" s="857"/>
      <c r="BH39" s="857"/>
      <c r="BI39" s="857"/>
      <c r="BJ39" s="857"/>
      <c r="BK39" s="857"/>
      <c r="BL39" s="857"/>
      <c r="BM39" s="857"/>
      <c r="BN39" s="785"/>
      <c r="BO39" s="785"/>
      <c r="BP39" s="785"/>
      <c r="BQ39" s="785"/>
      <c r="BR39" s="785"/>
    </row>
    <row r="40" spans="1:71" s="1" customFormat="1" hidden="1" x14ac:dyDescent="0.2">
      <c r="A40" s="17"/>
      <c r="B40" s="120"/>
      <c r="C40" s="120"/>
      <c r="D40" s="120"/>
      <c r="E40" s="120"/>
      <c r="F40" s="120"/>
      <c r="G40" s="120"/>
      <c r="H40" s="120"/>
      <c r="I40" s="120"/>
      <c r="J40" s="120"/>
      <c r="K40" s="121"/>
      <c r="L40" s="121"/>
      <c r="M40" s="121"/>
      <c r="N40" s="122"/>
      <c r="O40" s="122"/>
      <c r="P40" s="121"/>
      <c r="Q40" s="121"/>
      <c r="R40" s="122"/>
      <c r="S40" s="121"/>
      <c r="T40" s="121"/>
      <c r="U40" s="123"/>
      <c r="V40" s="123"/>
      <c r="W40" s="123"/>
      <c r="X40" s="123"/>
      <c r="Y40" s="120"/>
      <c r="Z40" s="120"/>
      <c r="AA40" s="120"/>
      <c r="AB40" s="120"/>
      <c r="AC40" s="120"/>
      <c r="AD40" s="120"/>
      <c r="AE40" s="120"/>
      <c r="AF40" s="120"/>
      <c r="AG40" s="120"/>
      <c r="AH40" s="123"/>
      <c r="AY40" s="92"/>
      <c r="AZ40" s="92"/>
      <c r="BA40" s="108"/>
      <c r="BB40" s="108"/>
      <c r="BE40" s="142"/>
      <c r="BF40" s="142"/>
      <c r="BG40" s="142"/>
      <c r="BH40" s="142"/>
      <c r="BI40" s="142"/>
      <c r="BJ40" s="142"/>
      <c r="BK40" s="142"/>
      <c r="BL40" s="142"/>
    </row>
    <row r="41" spans="1:71" s="1" customFormat="1" ht="69.75" hidden="1" customHeight="1" x14ac:dyDescent="0.2">
      <c r="A41" s="17"/>
      <c r="B41" s="120"/>
      <c r="C41" s="120"/>
      <c r="D41" s="120"/>
      <c r="E41" s="120"/>
      <c r="F41" s="120"/>
      <c r="G41" s="120"/>
      <c r="H41" s="120"/>
      <c r="I41" s="120"/>
      <c r="J41" s="120"/>
      <c r="K41" s="121"/>
      <c r="L41" s="121"/>
      <c r="M41" s="121"/>
      <c r="N41" s="122"/>
      <c r="O41" s="122"/>
      <c r="P41" s="121"/>
      <c r="Q41" s="121"/>
      <c r="R41" s="122"/>
      <c r="S41" s="121"/>
      <c r="T41" s="121"/>
      <c r="U41" s="123"/>
      <c r="V41" s="123"/>
      <c r="W41" s="123"/>
      <c r="X41" s="123"/>
      <c r="Y41" s="120"/>
      <c r="Z41" s="120"/>
      <c r="AA41" s="120"/>
      <c r="AB41" s="120"/>
      <c r="AC41" s="120"/>
      <c r="AD41" s="120"/>
      <c r="AE41" s="120"/>
      <c r="AF41" s="120"/>
      <c r="AG41" s="120"/>
      <c r="AH41" s="123"/>
      <c r="AL41" s="857" t="s">
        <v>105</v>
      </c>
      <c r="AM41" s="857"/>
      <c r="AN41" s="857"/>
      <c r="AO41" s="857"/>
      <c r="AP41" s="857"/>
      <c r="AQ41" s="857"/>
      <c r="AR41" s="857"/>
      <c r="AS41" s="857"/>
      <c r="AT41" s="857"/>
      <c r="AU41" s="857"/>
      <c r="AV41" s="857"/>
      <c r="AW41" s="857"/>
      <c r="AX41" s="857"/>
      <c r="AY41" s="857"/>
      <c r="AZ41" s="857"/>
      <c r="BA41" s="857"/>
      <c r="BB41" s="857"/>
      <c r="BC41" s="857"/>
      <c r="BD41" s="857"/>
      <c r="BE41" s="857"/>
      <c r="BF41" s="857"/>
      <c r="BG41" s="857"/>
      <c r="BH41" s="857"/>
      <c r="BI41" s="857"/>
      <c r="BJ41" s="857"/>
      <c r="BK41" s="857"/>
      <c r="BL41" s="857"/>
      <c r="BM41" s="857"/>
      <c r="BN41" s="785"/>
      <c r="BO41" s="785"/>
      <c r="BP41" s="785"/>
      <c r="BQ41" s="785"/>
      <c r="BR41" s="785"/>
    </row>
    <row r="42" spans="1:71" s="1" customFormat="1" hidden="1" x14ac:dyDescent="0.2">
      <c r="A42" s="17"/>
      <c r="B42" s="120"/>
      <c r="C42" s="120"/>
      <c r="D42" s="120"/>
      <c r="E42" s="120"/>
      <c r="F42" s="120"/>
      <c r="G42" s="120"/>
      <c r="H42" s="120"/>
      <c r="I42" s="120"/>
      <c r="J42" s="120"/>
      <c r="K42" s="121"/>
      <c r="L42" s="121"/>
      <c r="M42" s="121"/>
      <c r="N42" s="122"/>
      <c r="O42" s="122"/>
      <c r="P42" s="121"/>
      <c r="Q42" s="121"/>
      <c r="R42" s="122"/>
      <c r="S42" s="121"/>
      <c r="T42" s="121"/>
      <c r="U42" s="123"/>
      <c r="V42" s="123"/>
      <c r="W42" s="123"/>
      <c r="X42" s="123"/>
      <c r="Y42" s="120"/>
      <c r="Z42" s="120"/>
      <c r="AA42" s="120"/>
      <c r="AB42" s="120"/>
      <c r="AC42" s="120"/>
      <c r="AD42" s="120"/>
      <c r="AE42" s="120"/>
      <c r="AF42" s="120"/>
      <c r="AG42" s="120"/>
      <c r="AH42" s="123"/>
      <c r="AY42" s="92"/>
      <c r="AZ42" s="92"/>
      <c r="BA42" s="108"/>
      <c r="BB42" s="108"/>
      <c r="BE42" s="142"/>
      <c r="BF42" s="142"/>
      <c r="BG42" s="142"/>
      <c r="BH42" s="142"/>
      <c r="BI42" s="142"/>
      <c r="BJ42" s="142"/>
      <c r="BK42" s="142"/>
      <c r="BL42" s="142"/>
    </row>
    <row r="43" spans="1:71" s="1" customFormat="1" ht="149.25" hidden="1" customHeight="1" x14ac:dyDescent="0.2">
      <c r="A43" s="17"/>
      <c r="B43" s="120"/>
      <c r="C43" s="120"/>
      <c r="D43" s="120"/>
      <c r="E43" s="120"/>
      <c r="F43" s="120"/>
      <c r="G43" s="120"/>
      <c r="H43" s="120"/>
      <c r="I43" s="120"/>
      <c r="J43" s="120"/>
      <c r="K43" s="121"/>
      <c r="L43" s="121"/>
      <c r="M43" s="121"/>
      <c r="N43" s="122"/>
      <c r="O43" s="122"/>
      <c r="P43" s="121"/>
      <c r="Q43" s="121"/>
      <c r="R43" s="122"/>
      <c r="S43" s="121"/>
      <c r="T43" s="121"/>
      <c r="U43" s="123"/>
      <c r="V43" s="123"/>
      <c r="W43" s="123"/>
      <c r="X43" s="123"/>
      <c r="Y43" s="120"/>
      <c r="Z43" s="120"/>
      <c r="AA43" s="120"/>
      <c r="AB43" s="120"/>
      <c r="AC43" s="120"/>
      <c r="AD43" s="120"/>
      <c r="AE43" s="120"/>
      <c r="AF43" s="120"/>
      <c r="AG43" s="120"/>
      <c r="AH43" s="123"/>
      <c r="AL43" s="857" t="s">
        <v>103</v>
      </c>
      <c r="AM43" s="857"/>
      <c r="AN43" s="857"/>
      <c r="AO43" s="857"/>
      <c r="AP43" s="857"/>
      <c r="AQ43" s="857"/>
      <c r="AR43" s="857"/>
      <c r="AS43" s="857"/>
      <c r="AT43" s="857"/>
      <c r="AU43" s="857"/>
      <c r="AV43" s="857"/>
      <c r="AW43" s="857"/>
      <c r="AX43" s="857"/>
      <c r="AY43" s="857"/>
      <c r="AZ43" s="857"/>
      <c r="BA43" s="857"/>
      <c r="BB43" s="857"/>
      <c r="BC43" s="857"/>
      <c r="BD43" s="857"/>
      <c r="BE43" s="857"/>
      <c r="BF43" s="857"/>
      <c r="BG43" s="857"/>
      <c r="BH43" s="857"/>
      <c r="BI43" s="857"/>
      <c r="BJ43" s="857"/>
      <c r="BK43" s="857"/>
      <c r="BL43" s="857"/>
      <c r="BM43" s="857"/>
      <c r="BN43" s="785"/>
      <c r="BO43" s="785"/>
      <c r="BP43" s="785"/>
      <c r="BQ43" s="785"/>
      <c r="BR43" s="785"/>
    </row>
    <row r="44" spans="1:71" s="1" customFormat="1" hidden="1" x14ac:dyDescent="0.2">
      <c r="A44" s="17"/>
      <c r="B44" s="120"/>
      <c r="C44" s="120"/>
      <c r="D44" s="120"/>
      <c r="E44" s="120"/>
      <c r="F44" s="120"/>
      <c r="G44" s="120"/>
      <c r="H44" s="120"/>
      <c r="I44" s="120"/>
      <c r="J44" s="120"/>
      <c r="K44" s="121"/>
      <c r="L44" s="121"/>
      <c r="M44" s="121"/>
      <c r="N44" s="122"/>
      <c r="O44" s="122"/>
      <c r="P44" s="121"/>
      <c r="Q44" s="121"/>
      <c r="R44" s="122"/>
      <c r="S44" s="121"/>
      <c r="T44" s="121"/>
      <c r="U44" s="123"/>
      <c r="V44" s="123"/>
      <c r="W44" s="123"/>
      <c r="X44" s="123"/>
      <c r="Y44" s="120"/>
      <c r="Z44" s="120"/>
      <c r="AA44" s="120"/>
      <c r="AB44" s="120"/>
      <c r="AC44" s="120"/>
      <c r="AD44" s="120"/>
      <c r="AE44" s="120"/>
      <c r="AF44" s="120"/>
      <c r="AG44" s="120"/>
      <c r="AH44" s="123"/>
      <c r="AY44" s="92"/>
      <c r="AZ44" s="92"/>
      <c r="BA44" s="108"/>
      <c r="BB44" s="108"/>
      <c r="BE44" s="142"/>
      <c r="BF44" s="142"/>
      <c r="BG44" s="142"/>
      <c r="BH44" s="142"/>
      <c r="BI44" s="142"/>
      <c r="BJ44" s="142"/>
      <c r="BK44" s="142"/>
      <c r="BL44" s="142"/>
    </row>
    <row r="45" spans="1:71" s="1" customFormat="1" ht="52.5" hidden="1" customHeight="1" x14ac:dyDescent="0.2">
      <c r="A45" s="17"/>
      <c r="B45" s="120"/>
      <c r="C45" s="120"/>
      <c r="D45" s="120"/>
      <c r="E45" s="120"/>
      <c r="F45" s="120"/>
      <c r="G45" s="120"/>
      <c r="H45" s="120"/>
      <c r="I45" s="120"/>
      <c r="J45" s="120"/>
      <c r="K45" s="121"/>
      <c r="L45" s="121"/>
      <c r="M45" s="121"/>
      <c r="N45" s="122"/>
      <c r="O45" s="122"/>
      <c r="P45" s="121"/>
      <c r="Q45" s="121"/>
      <c r="R45" s="122"/>
      <c r="S45" s="121"/>
      <c r="T45" s="121"/>
      <c r="U45" s="123"/>
      <c r="V45" s="123"/>
      <c r="W45" s="123"/>
      <c r="X45" s="123"/>
      <c r="Y45" s="120"/>
      <c r="Z45" s="120"/>
      <c r="AA45" s="120"/>
      <c r="AB45" s="120"/>
      <c r="AC45" s="120"/>
      <c r="AD45" s="120"/>
      <c r="AE45" s="120"/>
      <c r="AF45" s="120"/>
      <c r="AG45" s="120"/>
      <c r="AH45" s="123"/>
      <c r="AL45" s="857" t="s">
        <v>102</v>
      </c>
      <c r="AM45" s="857"/>
      <c r="AN45" s="857"/>
      <c r="AO45" s="857"/>
      <c r="AP45" s="857"/>
      <c r="AQ45" s="857"/>
      <c r="AR45" s="857"/>
      <c r="AS45" s="857"/>
      <c r="AT45" s="857"/>
      <c r="AU45" s="857"/>
      <c r="AV45" s="857"/>
      <c r="AW45" s="857"/>
      <c r="AX45" s="857"/>
      <c r="AY45" s="857"/>
      <c r="AZ45" s="857"/>
      <c r="BA45" s="857"/>
      <c r="BB45" s="857"/>
      <c r="BC45" s="857"/>
      <c r="BD45" s="857"/>
      <c r="BE45" s="857"/>
      <c r="BF45" s="857"/>
      <c r="BG45" s="857"/>
      <c r="BH45" s="857"/>
      <c r="BI45" s="857"/>
      <c r="BJ45" s="857"/>
      <c r="BK45" s="857"/>
      <c r="BL45" s="857"/>
      <c r="BM45" s="857"/>
      <c r="BN45" s="785"/>
      <c r="BO45" s="785"/>
      <c r="BP45" s="785"/>
      <c r="BQ45" s="785"/>
      <c r="BR45" s="785"/>
    </row>
    <row r="46" spans="1:71" s="1" customFormat="1" hidden="1" x14ac:dyDescent="0.2">
      <c r="A46" s="17"/>
      <c r="B46" s="120"/>
      <c r="C46" s="120"/>
      <c r="D46" s="120"/>
      <c r="E46" s="120"/>
      <c r="F46" s="120"/>
      <c r="G46" s="120"/>
      <c r="H46" s="120"/>
      <c r="I46" s="120"/>
      <c r="J46" s="120"/>
      <c r="K46" s="121"/>
      <c r="L46" s="121"/>
      <c r="M46" s="121"/>
      <c r="N46" s="122"/>
      <c r="O46" s="122"/>
      <c r="P46" s="121"/>
      <c r="Q46" s="121"/>
      <c r="R46" s="122"/>
      <c r="S46" s="121"/>
      <c r="T46" s="121"/>
      <c r="U46" s="123"/>
      <c r="V46" s="123"/>
      <c r="W46" s="123"/>
      <c r="X46" s="123"/>
      <c r="Y46" s="120"/>
      <c r="Z46" s="120"/>
      <c r="AA46" s="120"/>
      <c r="AB46" s="120"/>
      <c r="AC46" s="120"/>
      <c r="AD46" s="120"/>
      <c r="AE46" s="120"/>
      <c r="AF46" s="120"/>
      <c r="AG46" s="120"/>
      <c r="AH46" s="123"/>
      <c r="AY46" s="92"/>
      <c r="AZ46" s="92"/>
      <c r="BA46" s="108"/>
      <c r="BB46" s="108"/>
      <c r="BE46" s="142"/>
      <c r="BF46" s="142"/>
      <c r="BG46" s="142"/>
      <c r="BH46" s="142"/>
      <c r="BI46" s="142"/>
      <c r="BJ46" s="142"/>
      <c r="BK46" s="142"/>
      <c r="BL46" s="142"/>
    </row>
    <row r="47" spans="1:71" s="1" customFormat="1" ht="102" hidden="1" customHeight="1" x14ac:dyDescent="0.2">
      <c r="A47" s="17"/>
      <c r="B47" s="120"/>
      <c r="C47" s="120"/>
      <c r="D47" s="120"/>
      <c r="E47" s="120"/>
      <c r="F47" s="120"/>
      <c r="G47" s="120"/>
      <c r="H47" s="120"/>
      <c r="I47" s="120"/>
      <c r="J47" s="120"/>
      <c r="K47" s="121"/>
      <c r="L47" s="121"/>
      <c r="M47" s="121"/>
      <c r="N47" s="122"/>
      <c r="O47" s="122"/>
      <c r="P47" s="121"/>
      <c r="Q47" s="121"/>
      <c r="R47" s="122"/>
      <c r="S47" s="121"/>
      <c r="T47" s="121"/>
      <c r="U47" s="123"/>
      <c r="V47" s="123"/>
      <c r="W47" s="123"/>
      <c r="X47" s="123"/>
      <c r="Y47" s="120"/>
      <c r="Z47" s="120"/>
      <c r="AA47" s="120"/>
      <c r="AB47" s="120"/>
      <c r="AC47" s="120"/>
      <c r="AD47" s="120"/>
      <c r="AE47" s="120"/>
      <c r="AF47" s="120"/>
      <c r="AG47" s="120"/>
      <c r="AH47" s="123"/>
      <c r="AL47" s="852" t="s">
        <v>99</v>
      </c>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c r="BL47" s="853"/>
      <c r="BM47" s="854"/>
      <c r="BN47" s="785"/>
      <c r="BO47" s="785"/>
      <c r="BP47" s="785"/>
      <c r="BQ47" s="785"/>
      <c r="BR47" s="785"/>
    </row>
    <row r="48" spans="1:71" s="1" customFormat="1" hidden="1" x14ac:dyDescent="0.2">
      <c r="A48" s="17"/>
      <c r="B48" s="120"/>
      <c r="C48" s="120"/>
      <c r="D48" s="120"/>
      <c r="E48" s="120"/>
      <c r="F48" s="120"/>
      <c r="G48" s="120"/>
      <c r="H48" s="120"/>
      <c r="I48" s="120"/>
      <c r="J48" s="120"/>
      <c r="K48" s="121"/>
      <c r="L48" s="121"/>
      <c r="M48" s="121"/>
      <c r="N48" s="122"/>
      <c r="O48" s="122"/>
      <c r="P48" s="121"/>
      <c r="Q48" s="121"/>
      <c r="R48" s="122"/>
      <c r="S48" s="121"/>
      <c r="T48" s="121"/>
      <c r="U48" s="123"/>
      <c r="V48" s="123"/>
      <c r="W48" s="123"/>
      <c r="X48" s="123"/>
      <c r="Y48" s="120"/>
      <c r="Z48" s="120"/>
      <c r="AA48" s="120"/>
      <c r="AB48" s="120"/>
      <c r="AC48" s="120"/>
      <c r="AD48" s="120"/>
      <c r="AE48" s="120"/>
      <c r="AF48" s="120"/>
      <c r="AG48" s="120"/>
      <c r="AH48" s="123"/>
      <c r="AL48" s="144"/>
      <c r="AY48" s="92"/>
      <c r="AZ48" s="92"/>
      <c r="BA48" s="108"/>
      <c r="BB48" s="108"/>
      <c r="BE48" s="142"/>
      <c r="BF48" s="142"/>
      <c r="BG48" s="142"/>
      <c r="BH48" s="142"/>
      <c r="BI48" s="142"/>
      <c r="BJ48" s="142"/>
      <c r="BK48" s="142"/>
      <c r="BL48" s="142"/>
    </row>
    <row r="49" spans="1:70" s="1" customFormat="1" ht="75.75" hidden="1" customHeight="1" x14ac:dyDescent="0.2">
      <c r="A49" s="17"/>
      <c r="B49" s="120"/>
      <c r="C49" s="120"/>
      <c r="D49" s="120"/>
      <c r="E49" s="120"/>
      <c r="F49" s="120"/>
      <c r="G49" s="120"/>
      <c r="H49" s="120"/>
      <c r="I49" s="120"/>
      <c r="J49" s="120"/>
      <c r="K49" s="121"/>
      <c r="L49" s="121"/>
      <c r="M49" s="121"/>
      <c r="N49" s="122"/>
      <c r="O49" s="122"/>
      <c r="P49" s="121"/>
      <c r="Q49" s="121"/>
      <c r="R49" s="122"/>
      <c r="S49" s="121"/>
      <c r="T49" s="121"/>
      <c r="U49" s="123"/>
      <c r="V49" s="123"/>
      <c r="W49" s="123"/>
      <c r="X49" s="123"/>
      <c r="Y49" s="120"/>
      <c r="Z49" s="120"/>
      <c r="AA49" s="120"/>
      <c r="AB49" s="120"/>
      <c r="AC49" s="120"/>
      <c r="AD49" s="120"/>
      <c r="AE49" s="120"/>
      <c r="AF49" s="120"/>
      <c r="AG49" s="120"/>
      <c r="AH49" s="123"/>
      <c r="AL49" s="852" t="s">
        <v>98</v>
      </c>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c r="BL49" s="853"/>
      <c r="BM49" s="854"/>
      <c r="BN49" s="785"/>
      <c r="BO49" s="785"/>
      <c r="BP49" s="785"/>
      <c r="BQ49" s="785"/>
      <c r="BR49" s="785"/>
    </row>
    <row r="50" spans="1:70" s="1" customFormat="1" hidden="1" x14ac:dyDescent="0.2">
      <c r="A50" s="17"/>
      <c r="B50" s="120"/>
      <c r="C50" s="120"/>
      <c r="D50" s="120"/>
      <c r="E50" s="120"/>
      <c r="F50" s="120"/>
      <c r="G50" s="120"/>
      <c r="H50" s="120"/>
      <c r="I50" s="120"/>
      <c r="J50" s="120"/>
      <c r="K50" s="121"/>
      <c r="L50" s="121"/>
      <c r="M50" s="121"/>
      <c r="N50" s="122"/>
      <c r="O50" s="122"/>
      <c r="P50" s="121"/>
      <c r="Q50" s="121"/>
      <c r="R50" s="122"/>
      <c r="S50" s="121"/>
      <c r="T50" s="121"/>
      <c r="U50" s="123"/>
      <c r="V50" s="123"/>
      <c r="W50" s="123"/>
      <c r="X50" s="123"/>
      <c r="Y50" s="120"/>
      <c r="Z50" s="120"/>
      <c r="AA50" s="120"/>
      <c r="AB50" s="120"/>
      <c r="AC50" s="120"/>
      <c r="AD50" s="120"/>
      <c r="AE50" s="120"/>
      <c r="AF50" s="120"/>
      <c r="AG50" s="120"/>
      <c r="AH50" s="123"/>
      <c r="AL50" s="144"/>
      <c r="AY50" s="92"/>
      <c r="AZ50" s="92"/>
      <c r="BA50" s="108"/>
      <c r="BB50" s="108"/>
      <c r="BE50" s="142"/>
      <c r="BF50" s="142"/>
      <c r="BG50" s="142"/>
      <c r="BH50" s="142"/>
      <c r="BI50" s="142"/>
      <c r="BJ50" s="142"/>
      <c r="BK50" s="142"/>
      <c r="BL50" s="142"/>
    </row>
    <row r="51" spans="1:70" s="1" customFormat="1" ht="39.950000000000003" hidden="1" customHeight="1" x14ac:dyDescent="0.2">
      <c r="A51" s="17"/>
      <c r="B51" s="120"/>
      <c r="C51" s="120"/>
      <c r="D51" s="120"/>
      <c r="E51" s="120"/>
      <c r="F51" s="120"/>
      <c r="G51" s="120"/>
      <c r="H51" s="120"/>
      <c r="I51" s="120"/>
      <c r="J51" s="120"/>
      <c r="K51" s="121"/>
      <c r="L51" s="121"/>
      <c r="M51" s="121"/>
      <c r="N51" s="122"/>
      <c r="O51" s="122"/>
      <c r="P51" s="121"/>
      <c r="Q51" s="121"/>
      <c r="R51" s="122"/>
      <c r="S51" s="121"/>
      <c r="T51" s="121"/>
      <c r="U51" s="123"/>
      <c r="V51" s="123"/>
      <c r="W51" s="123"/>
      <c r="X51" s="123"/>
      <c r="Y51" s="120"/>
      <c r="AL51" s="852" t="s">
        <v>73</v>
      </c>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9"/>
      <c r="BN51" s="786"/>
      <c r="BO51" s="786"/>
      <c r="BP51" s="786"/>
      <c r="BQ51" s="786"/>
      <c r="BR51" s="786"/>
    </row>
    <row r="52" spans="1:70" s="1" customFormat="1" hidden="1" x14ac:dyDescent="0.2">
      <c r="A52" s="17"/>
      <c r="B52" s="120"/>
      <c r="C52" s="120"/>
      <c r="D52" s="120"/>
      <c r="E52" s="120"/>
      <c r="F52" s="120"/>
      <c r="G52" s="120"/>
      <c r="H52" s="120"/>
      <c r="I52" s="120"/>
      <c r="J52" s="120"/>
      <c r="K52" s="121"/>
      <c r="L52" s="121"/>
      <c r="M52" s="121"/>
      <c r="N52" s="122"/>
      <c r="O52" s="122"/>
      <c r="P52" s="121"/>
      <c r="Q52" s="121"/>
      <c r="R52" s="122"/>
      <c r="S52" s="121"/>
      <c r="T52" s="121"/>
      <c r="U52" s="123"/>
      <c r="V52" s="123"/>
      <c r="W52" s="123"/>
      <c r="X52" s="123"/>
      <c r="Y52" s="120"/>
      <c r="AL52" s="147"/>
      <c r="AY52" s="92"/>
      <c r="AZ52" s="92"/>
      <c r="BA52" s="108"/>
      <c r="BB52" s="108"/>
      <c r="BE52" s="142"/>
      <c r="BF52" s="142"/>
      <c r="BG52" s="142"/>
      <c r="BH52" s="142"/>
      <c r="BI52" s="142"/>
      <c r="BJ52" s="142"/>
      <c r="BK52" s="142"/>
      <c r="BL52" s="142"/>
    </row>
    <row r="53" spans="1:70" s="1" customFormat="1" ht="39.950000000000003" hidden="1" customHeight="1" x14ac:dyDescent="0.2">
      <c r="A53" s="17"/>
      <c r="B53" s="120"/>
      <c r="C53" s="120"/>
      <c r="D53" s="120"/>
      <c r="E53" s="120"/>
      <c r="F53" s="120"/>
      <c r="G53" s="120"/>
      <c r="H53" s="120"/>
      <c r="I53" s="120"/>
      <c r="J53" s="120"/>
      <c r="K53" s="121"/>
      <c r="L53" s="121"/>
      <c r="M53" s="121"/>
      <c r="N53" s="122"/>
      <c r="O53" s="122"/>
      <c r="P53" s="121"/>
      <c r="Q53" s="121"/>
      <c r="R53" s="122"/>
      <c r="S53" s="121"/>
      <c r="T53" s="121"/>
      <c r="U53" s="123"/>
      <c r="V53" s="123"/>
      <c r="W53" s="123"/>
      <c r="X53" s="123"/>
      <c r="Y53" s="120"/>
      <c r="AL53" s="849" t="s">
        <v>74</v>
      </c>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9"/>
      <c r="BN53" s="786"/>
      <c r="BO53" s="786"/>
      <c r="BP53" s="786"/>
      <c r="BQ53" s="786"/>
      <c r="BR53" s="786"/>
    </row>
    <row r="54" spans="1:70" s="1" customFormat="1" hidden="1" x14ac:dyDescent="0.2">
      <c r="A54" s="17"/>
      <c r="B54" s="120"/>
      <c r="C54" s="120"/>
      <c r="D54" s="120"/>
      <c r="E54" s="120"/>
      <c r="F54" s="120"/>
      <c r="G54" s="120"/>
      <c r="H54" s="120"/>
      <c r="I54" s="120"/>
      <c r="J54" s="120"/>
      <c r="K54" s="121"/>
      <c r="L54" s="121"/>
      <c r="M54" s="121"/>
      <c r="N54" s="122"/>
      <c r="O54" s="122"/>
      <c r="P54" s="121"/>
      <c r="Q54" s="121"/>
      <c r="R54" s="122"/>
      <c r="S54" s="121"/>
      <c r="T54" s="121"/>
      <c r="U54" s="123"/>
      <c r="V54" s="123"/>
      <c r="W54" s="123"/>
      <c r="X54" s="123"/>
      <c r="Y54" s="120"/>
      <c r="AL54" s="148"/>
      <c r="AY54" s="92"/>
      <c r="AZ54" s="92"/>
      <c r="BA54" s="108"/>
      <c r="BB54" s="108"/>
      <c r="BE54" s="142"/>
      <c r="BF54" s="142"/>
      <c r="BG54" s="142"/>
      <c r="BH54" s="142"/>
      <c r="BI54" s="142"/>
      <c r="BJ54" s="142"/>
      <c r="BK54" s="142"/>
      <c r="BL54" s="142"/>
    </row>
    <row r="55" spans="1:70" s="1" customFormat="1" ht="39.950000000000003" hidden="1" customHeight="1" x14ac:dyDescent="0.2">
      <c r="A55" s="17"/>
      <c r="B55" s="120"/>
      <c r="C55" s="120"/>
      <c r="D55" s="120"/>
      <c r="E55" s="120"/>
      <c r="F55" s="120"/>
      <c r="G55" s="120"/>
      <c r="H55" s="120"/>
      <c r="I55" s="120"/>
      <c r="J55" s="120"/>
      <c r="K55" s="121"/>
      <c r="L55" s="121"/>
      <c r="M55" s="121"/>
      <c r="N55" s="122"/>
      <c r="O55" s="122"/>
      <c r="P55" s="121"/>
      <c r="Q55" s="121"/>
      <c r="R55" s="122"/>
      <c r="S55" s="121"/>
      <c r="T55" s="121"/>
      <c r="U55" s="123"/>
      <c r="V55" s="123"/>
      <c r="W55" s="123"/>
      <c r="X55" s="123"/>
      <c r="Y55" s="120"/>
      <c r="AL55" s="852" t="s">
        <v>75</v>
      </c>
      <c r="AM55" s="853"/>
      <c r="AN55" s="853"/>
      <c r="AO55" s="853"/>
      <c r="AP55" s="853"/>
      <c r="AQ55" s="853"/>
      <c r="AR55" s="853"/>
      <c r="AS55" s="853"/>
      <c r="AT55" s="853"/>
      <c r="AU55" s="853"/>
      <c r="AV55" s="853"/>
      <c r="AW55" s="853"/>
      <c r="AX55" s="853"/>
      <c r="AY55" s="853"/>
      <c r="AZ55" s="853"/>
      <c r="BA55" s="853"/>
      <c r="BB55" s="853"/>
      <c r="BC55" s="853"/>
      <c r="BD55" s="853"/>
      <c r="BE55" s="853"/>
      <c r="BF55" s="853"/>
      <c r="BG55" s="853"/>
      <c r="BH55" s="853"/>
      <c r="BI55" s="853"/>
      <c r="BJ55" s="853"/>
      <c r="BK55" s="853"/>
      <c r="BL55" s="853"/>
      <c r="BM55" s="854"/>
      <c r="BN55" s="785"/>
      <c r="BO55" s="785"/>
      <c r="BP55" s="785"/>
      <c r="BQ55" s="785"/>
      <c r="BR55" s="785"/>
    </row>
    <row r="56" spans="1:70" s="1" customFormat="1" hidden="1" x14ac:dyDescent="0.2">
      <c r="A56" s="17"/>
      <c r="B56" s="120"/>
      <c r="C56" s="120"/>
      <c r="D56" s="120"/>
      <c r="E56" s="120"/>
      <c r="F56" s="120"/>
      <c r="G56" s="120"/>
      <c r="H56" s="120"/>
      <c r="I56" s="120"/>
      <c r="J56" s="120"/>
      <c r="K56" s="121"/>
      <c r="L56" s="121"/>
      <c r="M56" s="121"/>
      <c r="N56" s="122"/>
      <c r="O56" s="122"/>
      <c r="P56" s="121"/>
      <c r="Q56" s="121"/>
      <c r="R56" s="122"/>
      <c r="S56" s="121"/>
      <c r="T56" s="121"/>
      <c r="U56" s="123"/>
      <c r="V56" s="123"/>
      <c r="W56" s="123"/>
      <c r="X56" s="123"/>
      <c r="Y56" s="120"/>
      <c r="AL56" s="148"/>
      <c r="AY56" s="92"/>
      <c r="AZ56" s="92"/>
      <c r="BA56" s="108"/>
      <c r="BB56" s="108"/>
      <c r="BE56" s="142"/>
      <c r="BF56" s="142"/>
      <c r="BG56" s="142"/>
      <c r="BH56" s="142"/>
      <c r="BI56" s="142"/>
      <c r="BJ56" s="142"/>
      <c r="BK56" s="142"/>
      <c r="BL56" s="142"/>
    </row>
    <row r="57" spans="1:70" s="1" customFormat="1" ht="39.950000000000003" hidden="1" customHeight="1" x14ac:dyDescent="0.2">
      <c r="A57" s="17"/>
      <c r="B57" s="120"/>
      <c r="C57" s="120"/>
      <c r="D57" s="120"/>
      <c r="E57" s="120"/>
      <c r="F57" s="120"/>
      <c r="G57" s="120"/>
      <c r="H57" s="120"/>
      <c r="I57" s="120"/>
      <c r="J57" s="120"/>
      <c r="K57" s="121"/>
      <c r="L57" s="121"/>
      <c r="M57" s="121"/>
      <c r="N57" s="122"/>
      <c r="O57" s="122"/>
      <c r="P57" s="121"/>
      <c r="Q57" s="121"/>
      <c r="R57" s="122"/>
      <c r="S57" s="121"/>
      <c r="T57" s="121"/>
      <c r="U57" s="123"/>
      <c r="V57" s="123"/>
      <c r="W57" s="123"/>
      <c r="X57" s="123"/>
      <c r="Y57" s="120"/>
      <c r="AL57" s="852" t="s">
        <v>76</v>
      </c>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c r="BL57" s="853"/>
      <c r="BM57" s="854"/>
      <c r="BN57" s="785"/>
      <c r="BO57" s="785"/>
      <c r="BP57" s="785"/>
      <c r="BQ57" s="785"/>
      <c r="BR57" s="785"/>
    </row>
    <row r="58" spans="1:70" s="1" customFormat="1" hidden="1" x14ac:dyDescent="0.2">
      <c r="A58" s="17"/>
      <c r="B58" s="120"/>
      <c r="C58" s="120"/>
      <c r="D58" s="120"/>
      <c r="E58" s="120"/>
      <c r="F58" s="120"/>
      <c r="G58" s="120"/>
      <c r="H58" s="120"/>
      <c r="I58" s="120"/>
      <c r="J58" s="120"/>
      <c r="K58" s="121"/>
      <c r="L58" s="121"/>
      <c r="M58" s="121"/>
      <c r="N58" s="122"/>
      <c r="O58" s="122"/>
      <c r="P58" s="121"/>
      <c r="Q58" s="121"/>
      <c r="R58" s="122"/>
      <c r="S58" s="121"/>
      <c r="T58" s="121"/>
      <c r="U58" s="123"/>
      <c r="V58" s="123"/>
      <c r="W58" s="123"/>
      <c r="X58" s="123"/>
      <c r="Y58" s="120"/>
      <c r="AL58" s="148"/>
      <c r="AY58" s="92"/>
      <c r="AZ58" s="92"/>
      <c r="BA58" s="108"/>
      <c r="BB58" s="108"/>
      <c r="BE58" s="142"/>
      <c r="BF58" s="142"/>
      <c r="BG58" s="142"/>
      <c r="BH58" s="142"/>
      <c r="BI58" s="142"/>
      <c r="BJ58" s="142"/>
      <c r="BK58" s="142"/>
      <c r="BL58" s="142"/>
    </row>
    <row r="59" spans="1:70" s="1" customFormat="1" ht="39.950000000000003" hidden="1" customHeight="1" x14ac:dyDescent="0.2">
      <c r="A59" s="17"/>
      <c r="B59" s="120"/>
      <c r="C59" s="120"/>
      <c r="D59" s="120"/>
      <c r="E59" s="120"/>
      <c r="F59" s="120"/>
      <c r="G59" s="120"/>
      <c r="H59" s="120"/>
      <c r="I59" s="120"/>
      <c r="J59" s="120"/>
      <c r="K59" s="121"/>
      <c r="L59" s="121"/>
      <c r="M59" s="121"/>
      <c r="N59" s="122"/>
      <c r="O59" s="122"/>
      <c r="P59" s="121"/>
      <c r="Q59" s="121"/>
      <c r="R59" s="122"/>
      <c r="S59" s="121"/>
      <c r="T59" s="121"/>
      <c r="U59" s="123"/>
      <c r="V59" s="123"/>
      <c r="W59" s="123"/>
      <c r="X59" s="123"/>
      <c r="Y59" s="120"/>
      <c r="AL59" s="849" t="s">
        <v>77</v>
      </c>
      <c r="AM59" s="850"/>
      <c r="AN59" s="850"/>
      <c r="AO59" s="850"/>
      <c r="AP59" s="850"/>
      <c r="AQ59" s="850"/>
      <c r="AR59" s="850"/>
      <c r="AS59" s="850"/>
      <c r="AT59" s="850"/>
      <c r="AU59" s="850"/>
      <c r="AV59" s="850"/>
      <c r="AW59" s="850"/>
      <c r="AX59" s="850"/>
      <c r="AY59" s="850"/>
      <c r="AZ59" s="850"/>
      <c r="BA59" s="850"/>
      <c r="BB59" s="850"/>
      <c r="BC59" s="850"/>
      <c r="BD59" s="850"/>
      <c r="BE59" s="850"/>
      <c r="BF59" s="850"/>
      <c r="BG59" s="850"/>
      <c r="BH59" s="850"/>
      <c r="BI59" s="850"/>
      <c r="BJ59" s="850"/>
      <c r="BK59" s="850"/>
      <c r="BL59" s="850"/>
      <c r="BM59" s="851"/>
      <c r="BN59" s="787"/>
      <c r="BO59" s="787"/>
      <c r="BP59" s="787"/>
      <c r="BQ59" s="787"/>
      <c r="BR59" s="787"/>
    </row>
    <row r="60" spans="1:70" s="1" customFormat="1" hidden="1" x14ac:dyDescent="0.2">
      <c r="A60" s="17"/>
      <c r="B60" s="120"/>
      <c r="C60" s="120"/>
      <c r="D60" s="120"/>
      <c r="E60" s="120"/>
      <c r="F60" s="120"/>
      <c r="G60" s="120"/>
      <c r="H60" s="120"/>
      <c r="I60" s="120"/>
      <c r="J60" s="120"/>
      <c r="K60" s="121"/>
      <c r="L60" s="121"/>
      <c r="M60" s="121"/>
      <c r="N60" s="122"/>
      <c r="O60" s="122"/>
      <c r="P60" s="121"/>
      <c r="Q60" s="121"/>
      <c r="R60" s="122"/>
      <c r="S60" s="121"/>
      <c r="T60" s="121"/>
      <c r="U60" s="123"/>
      <c r="V60" s="123"/>
      <c r="W60" s="123"/>
      <c r="X60" s="123"/>
      <c r="Y60" s="120"/>
      <c r="AL60" s="148"/>
      <c r="AY60" s="92"/>
      <c r="AZ60" s="92"/>
      <c r="BA60" s="108"/>
      <c r="BB60" s="108"/>
      <c r="BE60" s="142"/>
      <c r="BF60" s="142"/>
      <c r="BG60" s="142"/>
      <c r="BH60" s="142"/>
      <c r="BI60" s="142"/>
      <c r="BJ60" s="142"/>
      <c r="BK60" s="142"/>
      <c r="BL60" s="142"/>
    </row>
    <row r="61" spans="1:70" s="1" customFormat="1" ht="39.950000000000003" hidden="1" customHeight="1" x14ac:dyDescent="0.2">
      <c r="A61" s="17"/>
      <c r="B61" s="120"/>
      <c r="C61" s="120"/>
      <c r="D61" s="120"/>
      <c r="E61" s="120"/>
      <c r="F61" s="120"/>
      <c r="G61" s="120"/>
      <c r="H61" s="120"/>
      <c r="I61" s="120"/>
      <c r="J61" s="120"/>
      <c r="K61" s="121"/>
      <c r="L61" s="121"/>
      <c r="M61" s="121"/>
      <c r="N61" s="122"/>
      <c r="O61" s="122"/>
      <c r="P61" s="121"/>
      <c r="Q61" s="121"/>
      <c r="R61" s="122"/>
      <c r="S61" s="121"/>
      <c r="T61" s="121"/>
      <c r="U61" s="123"/>
      <c r="V61" s="123"/>
      <c r="W61" s="123"/>
      <c r="X61" s="123"/>
      <c r="Y61" s="120"/>
      <c r="AL61" s="852" t="s">
        <v>78</v>
      </c>
      <c r="AM61" s="853"/>
      <c r="AN61" s="853"/>
      <c r="AO61" s="853"/>
      <c r="AP61" s="853"/>
      <c r="AQ61" s="853"/>
      <c r="AR61" s="853"/>
      <c r="AS61" s="853"/>
      <c r="AT61" s="853"/>
      <c r="AU61" s="853"/>
      <c r="AV61" s="853"/>
      <c r="AW61" s="853"/>
      <c r="AX61" s="853"/>
      <c r="AY61" s="853"/>
      <c r="AZ61" s="853"/>
      <c r="BA61" s="853"/>
      <c r="BB61" s="853"/>
      <c r="BC61" s="853"/>
      <c r="BD61" s="853"/>
      <c r="BE61" s="853"/>
      <c r="BF61" s="853"/>
      <c r="BG61" s="853"/>
      <c r="BH61" s="853"/>
      <c r="BI61" s="853"/>
      <c r="BJ61" s="853"/>
      <c r="BK61" s="853"/>
      <c r="BL61" s="853"/>
      <c r="BM61" s="854"/>
      <c r="BN61" s="785"/>
      <c r="BO61" s="785"/>
      <c r="BP61" s="785"/>
      <c r="BQ61" s="785"/>
      <c r="BR61" s="785"/>
    </row>
    <row r="62" spans="1:70" s="1" customFormat="1" hidden="1" x14ac:dyDescent="0.2">
      <c r="A62" s="17"/>
      <c r="B62" s="120"/>
      <c r="C62" s="120"/>
      <c r="D62" s="120"/>
      <c r="E62" s="120"/>
      <c r="F62" s="120"/>
      <c r="G62" s="120"/>
      <c r="H62" s="120"/>
      <c r="I62" s="120"/>
      <c r="J62" s="120"/>
      <c r="K62" s="121"/>
      <c r="L62" s="121"/>
      <c r="M62" s="121"/>
      <c r="N62" s="122"/>
      <c r="O62" s="122"/>
      <c r="P62" s="121"/>
      <c r="Q62" s="121"/>
      <c r="R62" s="122"/>
      <c r="S62" s="121"/>
      <c r="T62" s="121"/>
      <c r="U62" s="123"/>
      <c r="V62" s="123"/>
      <c r="W62" s="123"/>
      <c r="X62" s="123"/>
      <c r="Y62" s="120"/>
      <c r="AL62" s="145"/>
      <c r="AY62" s="92"/>
      <c r="AZ62" s="92"/>
      <c r="BA62" s="108"/>
      <c r="BB62" s="108"/>
      <c r="BE62" s="142"/>
      <c r="BF62" s="142"/>
      <c r="BG62" s="142"/>
      <c r="BH62" s="142"/>
      <c r="BI62" s="142"/>
      <c r="BJ62" s="142"/>
      <c r="BK62" s="142"/>
      <c r="BL62" s="142"/>
    </row>
    <row r="63" spans="1:70" s="1" customFormat="1" ht="39.950000000000003" hidden="1" customHeight="1" x14ac:dyDescent="0.2">
      <c r="A63" s="17"/>
      <c r="B63" s="120"/>
      <c r="C63" s="120"/>
      <c r="D63" s="120"/>
      <c r="E63" s="120"/>
      <c r="F63" s="120"/>
      <c r="G63" s="120"/>
      <c r="H63" s="120"/>
      <c r="I63" s="120"/>
      <c r="J63" s="120"/>
      <c r="K63" s="121"/>
      <c r="L63" s="121"/>
      <c r="M63" s="121"/>
      <c r="N63" s="122"/>
      <c r="O63" s="122"/>
      <c r="P63" s="121"/>
      <c r="Q63" s="121"/>
      <c r="R63" s="122"/>
      <c r="S63" s="121"/>
      <c r="T63" s="121"/>
      <c r="U63" s="123"/>
      <c r="V63" s="123"/>
      <c r="W63" s="123"/>
      <c r="X63" s="123"/>
      <c r="Y63" s="120"/>
      <c r="AL63" s="852" t="s">
        <v>79</v>
      </c>
      <c r="AM63" s="853"/>
      <c r="AN63" s="853"/>
      <c r="AO63" s="853"/>
      <c r="AP63" s="853"/>
      <c r="AQ63" s="853"/>
      <c r="AR63" s="853"/>
      <c r="AS63" s="853"/>
      <c r="AT63" s="853"/>
      <c r="AU63" s="853"/>
      <c r="AV63" s="853"/>
      <c r="AW63" s="853"/>
      <c r="AX63" s="853"/>
      <c r="AY63" s="853"/>
      <c r="AZ63" s="853"/>
      <c r="BA63" s="853"/>
      <c r="BB63" s="853"/>
      <c r="BC63" s="853"/>
      <c r="BD63" s="853"/>
      <c r="BE63" s="853"/>
      <c r="BF63" s="853"/>
      <c r="BG63" s="853"/>
      <c r="BH63" s="853"/>
      <c r="BI63" s="853"/>
      <c r="BJ63" s="853"/>
      <c r="BK63" s="853"/>
      <c r="BL63" s="853"/>
      <c r="BM63" s="854"/>
      <c r="BN63" s="785"/>
      <c r="BO63" s="785"/>
      <c r="BP63" s="785"/>
      <c r="BQ63" s="785"/>
      <c r="BR63" s="785"/>
    </row>
    <row r="64" spans="1:70" s="1" customFormat="1" hidden="1" x14ac:dyDescent="0.2">
      <c r="A64" s="17"/>
      <c r="B64" s="120"/>
      <c r="C64" s="120"/>
      <c r="D64" s="120"/>
      <c r="E64" s="120"/>
      <c r="F64" s="120"/>
      <c r="G64" s="120"/>
      <c r="H64" s="120"/>
      <c r="I64" s="120"/>
      <c r="J64" s="120"/>
      <c r="K64" s="121"/>
      <c r="L64" s="121"/>
      <c r="M64" s="121"/>
      <c r="N64" s="122"/>
      <c r="O64" s="122"/>
      <c r="P64" s="121"/>
      <c r="Q64" s="121"/>
      <c r="R64" s="122"/>
      <c r="S64" s="121"/>
      <c r="T64" s="121"/>
      <c r="U64" s="123"/>
      <c r="V64" s="123"/>
      <c r="W64" s="123"/>
      <c r="X64" s="123"/>
      <c r="Y64" s="120"/>
      <c r="AL64" s="149"/>
      <c r="AY64" s="92"/>
      <c r="AZ64" s="92"/>
      <c r="BA64" s="108"/>
      <c r="BB64" s="108"/>
      <c r="BE64" s="142"/>
      <c r="BF64" s="142"/>
      <c r="BG64" s="142"/>
      <c r="BH64" s="142"/>
      <c r="BI64" s="142"/>
      <c r="BJ64" s="142"/>
      <c r="BK64" s="142"/>
      <c r="BL64" s="142"/>
    </row>
    <row r="65" spans="1:70" s="19" customFormat="1" ht="39.950000000000003" hidden="1" customHeight="1" x14ac:dyDescent="0.2">
      <c r="A65" s="17"/>
      <c r="B65" s="18"/>
      <c r="C65" s="18"/>
      <c r="D65" s="18"/>
      <c r="E65" s="18"/>
      <c r="F65" s="18"/>
      <c r="G65" s="18"/>
      <c r="H65" s="18"/>
      <c r="I65" s="18"/>
      <c r="J65" s="18"/>
      <c r="K65" s="89"/>
      <c r="L65" s="89"/>
      <c r="M65" s="89"/>
      <c r="N65" s="90"/>
      <c r="O65" s="90"/>
      <c r="P65" s="90"/>
      <c r="Q65" s="90"/>
      <c r="R65" s="90"/>
      <c r="S65" s="90"/>
      <c r="T65" s="90"/>
      <c r="U65" s="90"/>
      <c r="V65" s="18"/>
      <c r="W65" s="18"/>
      <c r="X65" s="18"/>
      <c r="Y65" s="18"/>
      <c r="AL65" s="849" t="s">
        <v>80</v>
      </c>
      <c r="AM65" s="850"/>
      <c r="AN65" s="850"/>
      <c r="AO65" s="850"/>
      <c r="AP65" s="850"/>
      <c r="AQ65" s="850"/>
      <c r="AR65" s="850"/>
      <c r="AS65" s="850"/>
      <c r="AT65" s="850"/>
      <c r="AU65" s="850"/>
      <c r="AV65" s="850"/>
      <c r="AW65" s="850"/>
      <c r="AX65" s="850"/>
      <c r="AY65" s="850"/>
      <c r="AZ65" s="850"/>
      <c r="BA65" s="850"/>
      <c r="BB65" s="850"/>
      <c r="BC65" s="850"/>
      <c r="BD65" s="850"/>
      <c r="BE65" s="850"/>
      <c r="BF65" s="850"/>
      <c r="BG65" s="850"/>
      <c r="BH65" s="850"/>
      <c r="BI65" s="850"/>
      <c r="BJ65" s="850"/>
      <c r="BK65" s="850"/>
      <c r="BL65" s="850"/>
      <c r="BM65" s="851"/>
      <c r="BN65" s="787"/>
      <c r="BO65" s="787"/>
      <c r="BP65" s="787"/>
      <c r="BQ65" s="787"/>
      <c r="BR65" s="787"/>
    </row>
    <row r="66" spans="1:70" s="1" customFormat="1" hidden="1" x14ac:dyDescent="0.2">
      <c r="A66" s="17"/>
      <c r="B66" s="120"/>
      <c r="C66" s="120"/>
      <c r="D66" s="120"/>
      <c r="E66" s="120"/>
      <c r="F66" s="120"/>
      <c r="G66" s="120"/>
      <c r="H66" s="120"/>
      <c r="I66" s="120"/>
      <c r="J66" s="120"/>
      <c r="K66" s="121"/>
      <c r="L66" s="121"/>
      <c r="M66" s="121"/>
      <c r="N66" s="122"/>
      <c r="O66" s="122"/>
      <c r="P66" s="121"/>
      <c r="Q66" s="121"/>
      <c r="R66" s="122"/>
      <c r="S66" s="121"/>
      <c r="T66" s="121"/>
      <c r="U66" s="123"/>
      <c r="V66" s="123"/>
      <c r="W66" s="123"/>
      <c r="X66" s="123"/>
      <c r="Y66" s="120"/>
      <c r="AL66" s="149"/>
      <c r="AY66" s="92"/>
      <c r="AZ66" s="92"/>
      <c r="BA66" s="108"/>
      <c r="BB66" s="108"/>
      <c r="BE66" s="142"/>
      <c r="BF66" s="142"/>
      <c r="BG66" s="142"/>
      <c r="BH66" s="142"/>
      <c r="BI66" s="142"/>
      <c r="BJ66" s="142"/>
      <c r="BK66" s="142"/>
      <c r="BL66" s="142"/>
    </row>
    <row r="67" spans="1:70" s="19" customFormat="1" ht="39.950000000000003" hidden="1" customHeight="1" x14ac:dyDescent="0.2">
      <c r="A67" s="17"/>
      <c r="B67" s="18"/>
      <c r="C67" s="18"/>
      <c r="D67" s="18"/>
      <c r="E67" s="18"/>
      <c r="F67" s="18"/>
      <c r="G67" s="18"/>
      <c r="H67" s="18"/>
      <c r="I67" s="18"/>
      <c r="J67" s="18"/>
      <c r="K67" s="89"/>
      <c r="L67" s="89"/>
      <c r="M67" s="89"/>
      <c r="N67" s="90"/>
      <c r="O67" s="90"/>
      <c r="P67" s="90"/>
      <c r="Q67" s="90"/>
      <c r="R67" s="90"/>
      <c r="S67" s="90"/>
      <c r="T67" s="90"/>
      <c r="U67" s="90"/>
      <c r="V67" s="18"/>
      <c r="W67" s="18"/>
      <c r="X67" s="18"/>
      <c r="Y67" s="18"/>
      <c r="AL67" s="860" t="s">
        <v>81</v>
      </c>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861"/>
      <c r="BJ67" s="861"/>
      <c r="BK67" s="861"/>
      <c r="BL67" s="861"/>
      <c r="BM67" s="862"/>
      <c r="BN67" s="788"/>
      <c r="BO67" s="788"/>
      <c r="BP67" s="788"/>
      <c r="BQ67" s="788"/>
      <c r="BR67" s="788"/>
    </row>
    <row r="68" spans="1:70" s="19" customFormat="1" hidden="1" x14ac:dyDescent="0.2">
      <c r="A68" s="17"/>
      <c r="B68" s="18"/>
      <c r="C68" s="18"/>
      <c r="D68" s="18"/>
      <c r="E68" s="18"/>
      <c r="F68" s="18"/>
      <c r="G68" s="18"/>
      <c r="H68" s="18"/>
      <c r="I68" s="18"/>
      <c r="J68" s="18"/>
      <c r="K68" s="89"/>
      <c r="L68" s="89"/>
      <c r="M68" s="89"/>
      <c r="N68" s="90"/>
      <c r="O68" s="90"/>
      <c r="P68" s="90"/>
      <c r="Q68" s="90"/>
      <c r="R68" s="90"/>
      <c r="S68" s="90"/>
      <c r="T68" s="90"/>
      <c r="U68" s="90"/>
      <c r="V68" s="18"/>
      <c r="W68" s="18"/>
      <c r="X68" s="18"/>
      <c r="Y68" s="18"/>
      <c r="AL68" s="149"/>
      <c r="AY68" s="210"/>
      <c r="AZ68" s="210"/>
      <c r="BA68" s="238"/>
      <c r="BB68" s="238"/>
      <c r="BE68" s="142"/>
      <c r="BF68" s="142"/>
      <c r="BG68" s="142"/>
      <c r="BH68" s="142"/>
      <c r="BI68" s="142"/>
      <c r="BJ68" s="142"/>
      <c r="BK68" s="142"/>
      <c r="BL68" s="142"/>
    </row>
    <row r="69" spans="1:70" s="19" customFormat="1" ht="39.950000000000003" hidden="1" customHeight="1" x14ac:dyDescent="0.2">
      <c r="A69" s="17"/>
      <c r="B69" s="18"/>
      <c r="C69" s="18"/>
      <c r="D69" s="18"/>
      <c r="E69" s="18"/>
      <c r="F69" s="18"/>
      <c r="G69" s="18"/>
      <c r="H69" s="18"/>
      <c r="I69" s="18"/>
      <c r="J69" s="18"/>
      <c r="K69" s="89"/>
      <c r="L69" s="89"/>
      <c r="M69" s="89"/>
      <c r="N69" s="90"/>
      <c r="O69" s="90"/>
      <c r="P69" s="90"/>
      <c r="Q69" s="90"/>
      <c r="R69" s="90"/>
      <c r="S69" s="90"/>
      <c r="T69" s="90"/>
      <c r="U69" s="90"/>
      <c r="V69" s="18"/>
      <c r="W69" s="18"/>
      <c r="X69" s="18"/>
      <c r="Y69" s="18"/>
      <c r="AL69" s="849" t="s">
        <v>82</v>
      </c>
      <c r="AM69" s="850"/>
      <c r="AN69" s="850"/>
      <c r="AO69" s="850"/>
      <c r="AP69" s="850"/>
      <c r="AQ69" s="850"/>
      <c r="AR69" s="850"/>
      <c r="AS69" s="850"/>
      <c r="AT69" s="850"/>
      <c r="AU69" s="850"/>
      <c r="AV69" s="850"/>
      <c r="AW69" s="850"/>
      <c r="AX69" s="850"/>
      <c r="AY69" s="850"/>
      <c r="AZ69" s="850"/>
      <c r="BA69" s="850"/>
      <c r="BB69" s="850"/>
      <c r="BC69" s="850"/>
      <c r="BD69" s="850"/>
      <c r="BE69" s="850"/>
      <c r="BF69" s="850"/>
      <c r="BG69" s="850"/>
      <c r="BH69" s="850"/>
      <c r="BI69" s="850"/>
      <c r="BJ69" s="850"/>
      <c r="BK69" s="850"/>
      <c r="BL69" s="850"/>
      <c r="BM69" s="851"/>
      <c r="BN69" s="787"/>
      <c r="BO69" s="787"/>
      <c r="BP69" s="787"/>
      <c r="BQ69" s="787"/>
      <c r="BR69" s="787"/>
    </row>
    <row r="70" spans="1:70" s="19" customFormat="1" hidden="1" x14ac:dyDescent="0.2">
      <c r="A70" s="17"/>
      <c r="B70" s="18"/>
      <c r="C70" s="18"/>
      <c r="D70" s="18"/>
      <c r="E70" s="18"/>
      <c r="F70" s="18"/>
      <c r="G70" s="18"/>
      <c r="H70" s="18"/>
      <c r="I70" s="18"/>
      <c r="J70" s="18"/>
      <c r="K70" s="89"/>
      <c r="L70" s="89"/>
      <c r="M70" s="89"/>
      <c r="N70" s="90"/>
      <c r="O70" s="90"/>
      <c r="P70" s="90"/>
      <c r="Q70" s="90"/>
      <c r="R70" s="90"/>
      <c r="S70" s="90"/>
      <c r="T70" s="90"/>
      <c r="U70" s="90"/>
      <c r="V70" s="18"/>
      <c r="W70" s="18"/>
      <c r="X70" s="18"/>
      <c r="Y70" s="18"/>
      <c r="AL70" s="149"/>
      <c r="AY70" s="210"/>
      <c r="AZ70" s="210"/>
      <c r="BA70" s="238"/>
      <c r="BB70" s="238"/>
      <c r="BE70" s="142"/>
      <c r="BF70" s="142"/>
      <c r="BG70" s="142"/>
      <c r="BH70" s="142"/>
      <c r="BI70" s="142"/>
      <c r="BJ70" s="142"/>
      <c r="BK70" s="142"/>
      <c r="BL70" s="142"/>
    </row>
    <row r="71" spans="1:70" s="19" customFormat="1" ht="39.950000000000003" hidden="1" customHeight="1" x14ac:dyDescent="0.2">
      <c r="A71" s="17"/>
      <c r="B71" s="18"/>
      <c r="C71" s="18"/>
      <c r="D71" s="18"/>
      <c r="E71" s="18"/>
      <c r="F71" s="18"/>
      <c r="G71" s="18"/>
      <c r="H71" s="18"/>
      <c r="I71" s="18"/>
      <c r="J71" s="18"/>
      <c r="K71" s="89"/>
      <c r="L71" s="89"/>
      <c r="M71" s="89"/>
      <c r="N71" s="90"/>
      <c r="O71" s="90"/>
      <c r="P71" s="90"/>
      <c r="Q71" s="90"/>
      <c r="R71" s="90"/>
      <c r="S71" s="90"/>
      <c r="T71" s="90"/>
      <c r="U71" s="90"/>
      <c r="V71" s="18"/>
      <c r="W71" s="18"/>
      <c r="X71" s="18"/>
      <c r="Y71" s="18"/>
      <c r="AL71" s="849" t="s">
        <v>83</v>
      </c>
      <c r="AM71" s="850"/>
      <c r="AN71" s="850"/>
      <c r="AO71" s="850"/>
      <c r="AP71" s="850"/>
      <c r="AQ71" s="850"/>
      <c r="AR71" s="850"/>
      <c r="AS71" s="850"/>
      <c r="AT71" s="850"/>
      <c r="AU71" s="850"/>
      <c r="AV71" s="850"/>
      <c r="AW71" s="850"/>
      <c r="AX71" s="850"/>
      <c r="AY71" s="850"/>
      <c r="AZ71" s="850"/>
      <c r="BA71" s="850"/>
      <c r="BB71" s="850"/>
      <c r="BC71" s="850"/>
      <c r="BD71" s="850"/>
      <c r="BE71" s="850"/>
      <c r="BF71" s="850"/>
      <c r="BG71" s="850"/>
      <c r="BH71" s="850"/>
      <c r="BI71" s="850"/>
      <c r="BJ71" s="850"/>
      <c r="BK71" s="850"/>
      <c r="BL71" s="850"/>
      <c r="BM71" s="851"/>
      <c r="BN71" s="787"/>
      <c r="BO71" s="787"/>
      <c r="BP71" s="787"/>
      <c r="BQ71" s="787"/>
      <c r="BR71" s="787"/>
    </row>
    <row r="72" spans="1:70" ht="15" hidden="1" x14ac:dyDescent="0.25">
      <c r="B72" s="18"/>
      <c r="C72" s="18"/>
      <c r="D72" s="18"/>
      <c r="E72" s="18"/>
      <c r="F72" s="18"/>
      <c r="G72" s="18"/>
      <c r="H72" s="18"/>
      <c r="I72" s="18"/>
      <c r="J72" s="18"/>
      <c r="K72" s="89"/>
      <c r="L72" s="89"/>
      <c r="M72" s="89"/>
      <c r="N72" s="89"/>
      <c r="O72" s="90"/>
      <c r="P72" s="90"/>
      <c r="Q72" s="110"/>
      <c r="R72" s="110"/>
      <c r="S72" s="110"/>
      <c r="T72" s="110"/>
      <c r="U72" s="110"/>
      <c r="V72" s="110"/>
      <c r="W72" s="110"/>
      <c r="X72" s="110"/>
      <c r="Y72" s="110"/>
      <c r="AL72" s="146"/>
    </row>
    <row r="73" spans="1:70" ht="39.950000000000003" hidden="1" customHeight="1" x14ac:dyDescent="0.25">
      <c r="B73" s="114"/>
      <c r="C73" s="114"/>
      <c r="D73" s="114"/>
      <c r="E73" s="114"/>
      <c r="F73" s="114"/>
      <c r="G73" s="114"/>
      <c r="H73" s="114"/>
      <c r="I73" s="114"/>
      <c r="J73" s="114"/>
      <c r="K73" s="115"/>
      <c r="L73" s="115"/>
      <c r="M73" s="110"/>
      <c r="N73" s="110"/>
      <c r="O73" s="110"/>
      <c r="P73" s="110"/>
      <c r="Q73" s="110"/>
      <c r="R73" s="110"/>
      <c r="S73" s="110"/>
      <c r="T73" s="110"/>
      <c r="U73" s="110"/>
      <c r="V73" s="110"/>
      <c r="W73" s="110"/>
      <c r="X73" s="110"/>
      <c r="Y73" s="110"/>
      <c r="AL73" s="852" t="s">
        <v>84</v>
      </c>
      <c r="AM73" s="853"/>
      <c r="AN73" s="853"/>
      <c r="AO73" s="853"/>
      <c r="AP73" s="853"/>
      <c r="AQ73" s="853"/>
      <c r="AR73" s="853"/>
      <c r="AS73" s="853"/>
      <c r="AT73" s="853"/>
      <c r="AU73" s="853"/>
      <c r="AV73" s="853"/>
      <c r="AW73" s="853"/>
      <c r="AX73" s="853"/>
      <c r="AY73" s="853"/>
      <c r="AZ73" s="853"/>
      <c r="BA73" s="853"/>
      <c r="BB73" s="853"/>
      <c r="BC73" s="853"/>
      <c r="BD73" s="853"/>
      <c r="BE73" s="853"/>
      <c r="BF73" s="853"/>
      <c r="BG73" s="853"/>
      <c r="BH73" s="853"/>
      <c r="BI73" s="853"/>
      <c r="BJ73" s="853"/>
      <c r="BK73" s="853"/>
      <c r="BL73" s="853"/>
      <c r="BM73" s="854"/>
      <c r="BN73" s="785"/>
      <c r="BO73" s="785"/>
      <c r="BP73" s="785"/>
      <c r="BQ73" s="785"/>
      <c r="BR73" s="785"/>
    </row>
    <row r="74" spans="1:70" ht="15" hidden="1" x14ac:dyDescent="0.25">
      <c r="B74" s="18"/>
      <c r="C74" s="18"/>
      <c r="D74" s="18"/>
      <c r="E74" s="18"/>
      <c r="F74" s="18"/>
      <c r="G74" s="18"/>
      <c r="H74" s="18"/>
      <c r="I74" s="18"/>
      <c r="J74" s="18"/>
      <c r="K74" s="89"/>
      <c r="L74" s="89"/>
      <c r="M74" s="89"/>
      <c r="N74" s="111"/>
      <c r="O74" s="111"/>
      <c r="P74" s="111"/>
      <c r="Q74" s="111"/>
      <c r="R74" s="111"/>
      <c r="S74" s="111"/>
      <c r="T74" s="111"/>
      <c r="U74" s="111"/>
      <c r="V74" s="111"/>
      <c r="W74" s="111"/>
      <c r="X74" s="111"/>
      <c r="Y74" s="110"/>
      <c r="AL74" s="146"/>
    </row>
    <row r="75" spans="1:70" ht="39.950000000000003" hidden="1" customHeight="1" x14ac:dyDescent="0.25">
      <c r="B75" s="114"/>
      <c r="C75" s="114"/>
      <c r="D75" s="114"/>
      <c r="E75" s="114"/>
      <c r="F75" s="114"/>
      <c r="G75" s="114"/>
      <c r="H75" s="114"/>
      <c r="I75" s="114"/>
      <c r="J75" s="114"/>
      <c r="K75" s="115"/>
      <c r="L75" s="115"/>
      <c r="M75" s="110"/>
      <c r="N75" s="110"/>
      <c r="O75" s="110"/>
      <c r="P75" s="110"/>
      <c r="Q75" s="110"/>
      <c r="R75" s="110"/>
      <c r="S75" s="110"/>
      <c r="T75" s="110"/>
      <c r="U75" s="110"/>
      <c r="V75" s="110"/>
      <c r="W75" s="110"/>
      <c r="X75" s="110"/>
      <c r="Y75" s="110"/>
      <c r="AL75" s="860" t="s">
        <v>85</v>
      </c>
      <c r="AM75" s="861"/>
      <c r="AN75" s="861"/>
      <c r="AO75" s="861"/>
      <c r="AP75" s="861"/>
      <c r="AQ75" s="861"/>
      <c r="AR75" s="861"/>
      <c r="AS75" s="861"/>
      <c r="AT75" s="861"/>
      <c r="AU75" s="861"/>
      <c r="AV75" s="861"/>
      <c r="AW75" s="861"/>
      <c r="AX75" s="861"/>
      <c r="AY75" s="861"/>
      <c r="AZ75" s="861"/>
      <c r="BA75" s="861"/>
      <c r="BB75" s="861"/>
      <c r="BC75" s="861"/>
      <c r="BD75" s="861"/>
      <c r="BE75" s="861"/>
      <c r="BF75" s="861"/>
      <c r="BG75" s="861"/>
      <c r="BH75" s="861"/>
      <c r="BI75" s="861"/>
      <c r="BJ75" s="861"/>
      <c r="BK75" s="861"/>
      <c r="BL75" s="861"/>
      <c r="BM75" s="862"/>
      <c r="BN75" s="788"/>
      <c r="BO75" s="788"/>
      <c r="BP75" s="788"/>
      <c r="BQ75" s="788"/>
      <c r="BR75" s="788"/>
    </row>
    <row r="76" spans="1:70" ht="15" hidden="1" x14ac:dyDescent="0.25">
      <c r="B76" s="18"/>
      <c r="C76" s="18"/>
      <c r="D76" s="18"/>
      <c r="E76" s="18"/>
      <c r="F76" s="18"/>
      <c r="G76" s="18"/>
      <c r="H76" s="18"/>
      <c r="I76" s="18"/>
      <c r="J76" s="18"/>
      <c r="K76" s="89"/>
      <c r="L76" s="89"/>
      <c r="M76" s="89"/>
      <c r="N76" s="111"/>
      <c r="O76" s="111"/>
      <c r="P76" s="111"/>
      <c r="Q76" s="111"/>
      <c r="R76" s="111"/>
      <c r="S76" s="111"/>
      <c r="T76" s="111"/>
      <c r="U76" s="111"/>
      <c r="V76" s="111"/>
      <c r="W76" s="111"/>
      <c r="X76" s="111"/>
      <c r="Y76" s="110"/>
      <c r="AL76" s="146"/>
    </row>
    <row r="77" spans="1:70" ht="39.950000000000003" hidden="1" customHeight="1" x14ac:dyDescent="0.25">
      <c r="B77" s="114"/>
      <c r="C77" s="114"/>
      <c r="D77" s="114"/>
      <c r="E77" s="114"/>
      <c r="F77" s="114"/>
      <c r="G77" s="114"/>
      <c r="H77" s="114"/>
      <c r="I77" s="114"/>
      <c r="J77" s="114"/>
      <c r="K77" s="115"/>
      <c r="L77" s="115"/>
      <c r="M77" s="110"/>
      <c r="N77" s="110"/>
      <c r="O77" s="110"/>
      <c r="P77" s="110"/>
      <c r="Q77" s="110"/>
      <c r="R77" s="110"/>
      <c r="S77" s="110"/>
      <c r="T77" s="110"/>
      <c r="U77" s="110"/>
      <c r="V77" s="110"/>
      <c r="W77" s="110"/>
      <c r="X77" s="110"/>
      <c r="Y77" s="110"/>
      <c r="AL77" s="860" t="s">
        <v>86</v>
      </c>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2"/>
      <c r="BN77" s="788"/>
      <c r="BO77" s="788"/>
      <c r="BP77" s="788"/>
      <c r="BQ77" s="788"/>
      <c r="BR77" s="788"/>
    </row>
    <row r="78" spans="1:70" ht="15" hidden="1" x14ac:dyDescent="0.25">
      <c r="B78" s="18"/>
      <c r="C78" s="18"/>
      <c r="D78" s="18"/>
      <c r="E78" s="18"/>
      <c r="F78" s="18"/>
      <c r="G78" s="18"/>
      <c r="H78" s="18"/>
      <c r="I78" s="18"/>
      <c r="J78" s="18"/>
      <c r="K78" s="89"/>
      <c r="L78" s="89"/>
      <c r="M78" s="89"/>
      <c r="N78" s="90"/>
      <c r="O78" s="90"/>
      <c r="P78" s="111"/>
      <c r="Q78" s="111"/>
      <c r="R78" s="111"/>
      <c r="S78" s="111"/>
      <c r="T78" s="111"/>
      <c r="U78" s="111"/>
      <c r="V78" s="111"/>
      <c r="W78" s="111"/>
      <c r="X78" s="111"/>
      <c r="Y78" s="110"/>
      <c r="AL78" s="146"/>
    </row>
    <row r="79" spans="1:70" ht="39.950000000000003" hidden="1" customHeight="1" x14ac:dyDescent="0.25">
      <c r="B79" s="114"/>
      <c r="C79" s="114"/>
      <c r="D79" s="114"/>
      <c r="E79" s="114"/>
      <c r="F79" s="114"/>
      <c r="G79" s="114"/>
      <c r="H79" s="114"/>
      <c r="I79" s="114"/>
      <c r="J79" s="114"/>
      <c r="K79" s="115"/>
      <c r="L79" s="115"/>
      <c r="M79" s="110"/>
      <c r="N79" s="110"/>
      <c r="O79" s="110"/>
      <c r="P79" s="110"/>
      <c r="Q79" s="110"/>
      <c r="R79" s="110"/>
      <c r="S79" s="110"/>
      <c r="T79" s="110"/>
      <c r="U79" s="110"/>
      <c r="V79" s="110"/>
      <c r="W79" s="110"/>
      <c r="X79" s="110"/>
      <c r="Y79" s="110"/>
      <c r="AL79" s="860" t="s">
        <v>87</v>
      </c>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2"/>
      <c r="BN79" s="788"/>
      <c r="BO79" s="788"/>
      <c r="BP79" s="788"/>
      <c r="BQ79" s="788"/>
      <c r="BR79" s="788"/>
    </row>
    <row r="80" spans="1:70" ht="15" hidden="1" x14ac:dyDescent="0.25">
      <c r="B80" s="18"/>
      <c r="C80" s="18"/>
      <c r="D80" s="18"/>
      <c r="E80" s="18"/>
      <c r="F80" s="18"/>
      <c r="G80" s="18"/>
      <c r="H80" s="18"/>
      <c r="I80" s="18"/>
      <c r="J80" s="18"/>
      <c r="K80" s="89"/>
      <c r="L80" s="89"/>
      <c r="M80" s="89"/>
      <c r="N80" s="90"/>
      <c r="O80" s="90"/>
      <c r="P80" s="111"/>
      <c r="Q80" s="111"/>
      <c r="R80" s="111"/>
      <c r="S80" s="111"/>
      <c r="T80" s="111"/>
      <c r="U80" s="111"/>
      <c r="V80" s="111"/>
      <c r="W80" s="111"/>
      <c r="X80" s="111"/>
      <c r="Y80" s="110"/>
      <c r="AL80" s="146"/>
    </row>
    <row r="81" spans="1:70" ht="39.950000000000003" hidden="1" customHeight="1" x14ac:dyDescent="0.25">
      <c r="B81" s="114"/>
      <c r="C81" s="114"/>
      <c r="D81" s="114"/>
      <c r="E81" s="114"/>
      <c r="F81" s="114"/>
      <c r="G81" s="114"/>
      <c r="H81" s="114"/>
      <c r="I81" s="114"/>
      <c r="J81" s="114"/>
      <c r="K81" s="115"/>
      <c r="L81" s="115"/>
      <c r="M81" s="110"/>
      <c r="N81" s="110"/>
      <c r="O81" s="110"/>
      <c r="P81" s="110"/>
      <c r="Q81" s="110"/>
      <c r="R81" s="110"/>
      <c r="S81" s="110"/>
      <c r="T81" s="110"/>
      <c r="U81" s="110"/>
      <c r="V81" s="110"/>
      <c r="W81" s="110"/>
      <c r="X81" s="110"/>
      <c r="Y81" s="110"/>
      <c r="AL81" s="860" t="s">
        <v>88</v>
      </c>
      <c r="AM81" s="861"/>
      <c r="AN81" s="861"/>
      <c r="AO81" s="861"/>
      <c r="AP81" s="861"/>
      <c r="AQ81" s="861"/>
      <c r="AR81" s="861"/>
      <c r="AS81" s="861"/>
      <c r="AT81" s="861"/>
      <c r="AU81" s="861"/>
      <c r="AV81" s="861"/>
      <c r="AW81" s="861"/>
      <c r="AX81" s="861"/>
      <c r="AY81" s="861"/>
      <c r="AZ81" s="861"/>
      <c r="BA81" s="861"/>
      <c r="BB81" s="861"/>
      <c r="BC81" s="861"/>
      <c r="BD81" s="861"/>
      <c r="BE81" s="861"/>
      <c r="BF81" s="861"/>
      <c r="BG81" s="861"/>
      <c r="BH81" s="861"/>
      <c r="BI81" s="861"/>
      <c r="BJ81" s="861"/>
      <c r="BK81" s="861"/>
      <c r="BL81" s="861"/>
      <c r="BM81" s="862"/>
      <c r="BN81" s="788"/>
      <c r="BO81" s="788"/>
      <c r="BP81" s="788"/>
      <c r="BQ81" s="788"/>
      <c r="BR81" s="788"/>
    </row>
    <row r="82" spans="1:70" ht="15" hidden="1" x14ac:dyDescent="0.25">
      <c r="A82" s="114"/>
      <c r="B82" s="18"/>
      <c r="C82" s="18"/>
      <c r="D82" s="18"/>
      <c r="E82" s="18"/>
      <c r="F82" s="18"/>
      <c r="G82" s="18"/>
      <c r="H82" s="18"/>
      <c r="I82" s="18"/>
      <c r="J82" s="18"/>
      <c r="K82" s="89"/>
      <c r="L82" s="89"/>
      <c r="M82" s="89"/>
      <c r="N82" s="90"/>
      <c r="O82" s="90"/>
      <c r="P82" s="90"/>
      <c r="Q82" s="90"/>
      <c r="R82" s="111"/>
      <c r="S82" s="111"/>
      <c r="T82" s="111"/>
      <c r="U82" s="111"/>
      <c r="V82" s="111"/>
      <c r="W82" s="111"/>
      <c r="X82" s="111"/>
      <c r="Y82" s="110"/>
      <c r="AL82" s="146"/>
    </row>
    <row r="83" spans="1:70" ht="39.950000000000003" hidden="1" customHeight="1" x14ac:dyDescent="0.25">
      <c r="B83" s="114"/>
      <c r="C83" s="114"/>
      <c r="D83" s="114"/>
      <c r="E83" s="114"/>
      <c r="F83" s="114"/>
      <c r="G83" s="114"/>
      <c r="H83" s="114"/>
      <c r="I83" s="114"/>
      <c r="J83" s="114"/>
      <c r="K83" s="115"/>
      <c r="L83" s="115"/>
      <c r="M83" s="110"/>
      <c r="N83" s="110"/>
      <c r="O83" s="110"/>
      <c r="P83" s="110"/>
      <c r="Q83" s="110"/>
      <c r="R83" s="110"/>
      <c r="S83" s="110"/>
      <c r="T83" s="110"/>
      <c r="U83" s="110"/>
      <c r="V83" s="110"/>
      <c r="W83" s="110"/>
      <c r="X83" s="110"/>
      <c r="Y83" s="110"/>
      <c r="AL83" s="860" t="s">
        <v>89</v>
      </c>
      <c r="AM83" s="861"/>
      <c r="AN83" s="861"/>
      <c r="AO83" s="861"/>
      <c r="AP83" s="861"/>
      <c r="AQ83" s="861"/>
      <c r="AR83" s="861"/>
      <c r="AS83" s="861"/>
      <c r="AT83" s="861"/>
      <c r="AU83" s="861"/>
      <c r="AV83" s="861"/>
      <c r="AW83" s="861"/>
      <c r="AX83" s="861"/>
      <c r="AY83" s="861"/>
      <c r="AZ83" s="861"/>
      <c r="BA83" s="861"/>
      <c r="BB83" s="861"/>
      <c r="BC83" s="861"/>
      <c r="BD83" s="861"/>
      <c r="BE83" s="861"/>
      <c r="BF83" s="861"/>
      <c r="BG83" s="861"/>
      <c r="BH83" s="861"/>
      <c r="BI83" s="861"/>
      <c r="BJ83" s="861"/>
      <c r="BK83" s="861"/>
      <c r="BL83" s="861"/>
      <c r="BM83" s="862"/>
      <c r="BN83" s="788"/>
      <c r="BO83" s="788"/>
      <c r="BP83" s="788"/>
      <c r="BQ83" s="788"/>
      <c r="BR83" s="788"/>
    </row>
    <row r="84" spans="1:70" ht="15" hidden="1" x14ac:dyDescent="0.25">
      <c r="A84" s="114"/>
      <c r="B84" s="18"/>
      <c r="C84" s="18"/>
      <c r="D84" s="18"/>
      <c r="E84" s="18"/>
      <c r="F84" s="18"/>
      <c r="G84" s="18"/>
      <c r="H84" s="18"/>
      <c r="I84" s="18"/>
      <c r="J84" s="18"/>
      <c r="K84" s="89"/>
      <c r="L84" s="89"/>
      <c r="M84" s="89"/>
      <c r="N84" s="90"/>
      <c r="O84" s="90"/>
      <c r="P84" s="90"/>
      <c r="Q84" s="90"/>
      <c r="R84" s="111"/>
      <c r="S84" s="111"/>
      <c r="T84" s="111"/>
      <c r="U84" s="111"/>
      <c r="V84" s="111"/>
      <c r="W84" s="111"/>
      <c r="X84" s="111"/>
      <c r="Y84" s="110"/>
      <c r="AL84" s="146"/>
    </row>
    <row r="85" spans="1:70" ht="39.950000000000003" hidden="1" customHeight="1" x14ac:dyDescent="0.25">
      <c r="B85" s="114"/>
      <c r="C85" s="114"/>
      <c r="D85" s="114"/>
      <c r="E85" s="114"/>
      <c r="F85" s="114"/>
      <c r="G85" s="114"/>
      <c r="H85" s="114"/>
      <c r="I85" s="114"/>
      <c r="J85" s="114"/>
      <c r="K85" s="115"/>
      <c r="L85" s="115"/>
      <c r="M85" s="110"/>
      <c r="N85" s="110"/>
      <c r="O85" s="110"/>
      <c r="P85" s="110"/>
      <c r="Q85" s="110"/>
      <c r="R85" s="110"/>
      <c r="S85" s="110"/>
      <c r="T85" s="110"/>
      <c r="U85" s="110"/>
      <c r="V85" s="110"/>
      <c r="W85" s="110"/>
      <c r="X85" s="110"/>
      <c r="Y85" s="110"/>
      <c r="AL85" s="860" t="s">
        <v>90</v>
      </c>
      <c r="AM85" s="861"/>
      <c r="AN85" s="861"/>
      <c r="AO85" s="861"/>
      <c r="AP85" s="861"/>
      <c r="AQ85" s="861"/>
      <c r="AR85" s="861"/>
      <c r="AS85" s="861"/>
      <c r="AT85" s="861"/>
      <c r="AU85" s="861"/>
      <c r="AV85" s="861"/>
      <c r="AW85" s="861"/>
      <c r="AX85" s="861"/>
      <c r="AY85" s="861"/>
      <c r="AZ85" s="861"/>
      <c r="BA85" s="861"/>
      <c r="BB85" s="861"/>
      <c r="BC85" s="861"/>
      <c r="BD85" s="861"/>
      <c r="BE85" s="861"/>
      <c r="BF85" s="861"/>
      <c r="BG85" s="861"/>
      <c r="BH85" s="861"/>
      <c r="BI85" s="861"/>
      <c r="BJ85" s="861"/>
      <c r="BK85" s="861"/>
      <c r="BL85" s="861"/>
      <c r="BM85" s="862"/>
      <c r="BN85" s="788"/>
      <c r="BO85" s="788"/>
      <c r="BP85" s="788"/>
      <c r="BQ85" s="788"/>
      <c r="BR85" s="788"/>
    </row>
    <row r="86" spans="1:70" ht="15" hidden="1" x14ac:dyDescent="0.25">
      <c r="A86" s="114"/>
      <c r="B86" s="18"/>
      <c r="C86" s="18"/>
      <c r="D86" s="18"/>
      <c r="E86" s="18"/>
      <c r="F86" s="18"/>
      <c r="G86" s="18"/>
      <c r="H86" s="18"/>
      <c r="I86" s="18"/>
      <c r="J86" s="18"/>
      <c r="K86" s="89"/>
      <c r="L86" s="89"/>
      <c r="M86" s="89"/>
      <c r="N86" s="90"/>
      <c r="O86" s="90"/>
      <c r="P86" s="90"/>
      <c r="Q86" s="90"/>
      <c r="R86" s="111"/>
      <c r="S86" s="111"/>
      <c r="T86" s="111"/>
      <c r="U86" s="111"/>
      <c r="V86" s="111"/>
      <c r="W86" s="111"/>
      <c r="X86" s="111"/>
      <c r="Y86" s="110"/>
      <c r="AL86" s="146"/>
    </row>
    <row r="87" spans="1:70" ht="39.950000000000003" hidden="1" customHeight="1" x14ac:dyDescent="0.25">
      <c r="B87" s="114"/>
      <c r="C87" s="114"/>
      <c r="D87" s="114"/>
      <c r="E87" s="114"/>
      <c r="F87" s="114"/>
      <c r="G87" s="114"/>
      <c r="H87" s="114"/>
      <c r="I87" s="114"/>
      <c r="J87" s="114"/>
      <c r="K87" s="115"/>
      <c r="L87" s="115"/>
      <c r="M87" s="110"/>
      <c r="N87" s="110"/>
      <c r="O87" s="110"/>
      <c r="P87" s="110"/>
      <c r="Q87" s="110"/>
      <c r="R87" s="110"/>
      <c r="S87" s="110"/>
      <c r="T87" s="110"/>
      <c r="U87" s="110"/>
      <c r="V87" s="110"/>
      <c r="W87" s="110"/>
      <c r="X87" s="110"/>
      <c r="Y87" s="110"/>
      <c r="AL87" s="860" t="s">
        <v>91</v>
      </c>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2"/>
      <c r="BN87" s="788"/>
      <c r="BO87" s="788"/>
      <c r="BP87" s="788"/>
      <c r="BQ87" s="788"/>
      <c r="BR87" s="788"/>
    </row>
    <row r="88" spans="1:70" ht="15" hidden="1" x14ac:dyDescent="0.25">
      <c r="A88" s="114"/>
      <c r="B88" s="18"/>
      <c r="C88" s="18"/>
      <c r="D88" s="18"/>
      <c r="E88" s="18"/>
      <c r="F88" s="18"/>
      <c r="G88" s="18"/>
      <c r="H88" s="18"/>
      <c r="I88" s="18"/>
      <c r="J88" s="18"/>
      <c r="K88" s="89"/>
      <c r="L88" s="89"/>
      <c r="M88" s="89"/>
      <c r="N88" s="90"/>
      <c r="O88" s="90"/>
      <c r="P88" s="90"/>
      <c r="Q88" s="90"/>
      <c r="R88" s="111"/>
      <c r="S88" s="111"/>
      <c r="T88" s="111"/>
      <c r="U88" s="111"/>
      <c r="V88" s="111"/>
      <c r="W88" s="111"/>
      <c r="X88" s="111"/>
      <c r="Y88" s="110"/>
      <c r="AL88" s="146"/>
    </row>
    <row r="89" spans="1:70" ht="39.950000000000003" hidden="1" customHeight="1" x14ac:dyDescent="0.25">
      <c r="B89" s="114"/>
      <c r="C89" s="114"/>
      <c r="D89" s="114"/>
      <c r="E89" s="114"/>
      <c r="F89" s="114"/>
      <c r="G89" s="114"/>
      <c r="H89" s="114"/>
      <c r="I89" s="114"/>
      <c r="J89" s="114"/>
      <c r="K89" s="115"/>
      <c r="L89" s="115"/>
      <c r="M89" s="110"/>
      <c r="N89" s="110"/>
      <c r="O89" s="110"/>
      <c r="P89" s="110"/>
      <c r="Q89" s="110"/>
      <c r="R89" s="110"/>
      <c r="S89" s="110"/>
      <c r="T89" s="110"/>
      <c r="U89" s="110"/>
      <c r="V89" s="110"/>
      <c r="W89" s="110"/>
      <c r="X89" s="110"/>
      <c r="Y89" s="110"/>
      <c r="AL89" s="860" t="s">
        <v>92</v>
      </c>
      <c r="AM89" s="861"/>
      <c r="AN89" s="861"/>
      <c r="AO89" s="861"/>
      <c r="AP89" s="861"/>
      <c r="AQ89" s="861"/>
      <c r="AR89" s="861"/>
      <c r="AS89" s="861"/>
      <c r="AT89" s="861"/>
      <c r="AU89" s="861"/>
      <c r="AV89" s="861"/>
      <c r="AW89" s="861"/>
      <c r="AX89" s="861"/>
      <c r="AY89" s="861"/>
      <c r="AZ89" s="861"/>
      <c r="BA89" s="861"/>
      <c r="BB89" s="861"/>
      <c r="BC89" s="861"/>
      <c r="BD89" s="861"/>
      <c r="BE89" s="861"/>
      <c r="BF89" s="861"/>
      <c r="BG89" s="861"/>
      <c r="BH89" s="861"/>
      <c r="BI89" s="861"/>
      <c r="BJ89" s="861"/>
      <c r="BK89" s="861"/>
      <c r="BL89" s="861"/>
      <c r="BM89" s="862"/>
      <c r="BN89" s="788"/>
      <c r="BO89" s="788"/>
      <c r="BP89" s="788"/>
      <c r="BQ89" s="788"/>
      <c r="BR89" s="788"/>
    </row>
    <row r="90" spans="1:70" ht="15" hidden="1" x14ac:dyDescent="0.25">
      <c r="A90" s="115"/>
      <c r="B90" s="18"/>
      <c r="C90" s="18"/>
      <c r="D90" s="18"/>
      <c r="E90" s="18"/>
      <c r="F90" s="18"/>
      <c r="G90" s="18"/>
      <c r="H90" s="18"/>
      <c r="I90" s="18"/>
      <c r="J90" s="18"/>
      <c r="K90" s="89"/>
      <c r="L90" s="89"/>
      <c r="M90" s="89"/>
      <c r="N90" s="90"/>
      <c r="O90" s="90"/>
      <c r="P90" s="90"/>
      <c r="Q90" s="90"/>
      <c r="R90" s="111"/>
      <c r="S90" s="111"/>
      <c r="T90" s="111"/>
      <c r="U90" s="111"/>
      <c r="V90" s="111"/>
      <c r="W90" s="111"/>
      <c r="X90" s="111"/>
      <c r="Y90" s="110"/>
      <c r="AL90" s="146"/>
    </row>
    <row r="91" spans="1:70" ht="39.950000000000003" hidden="1" customHeight="1" x14ac:dyDescent="0.25">
      <c r="B91" s="114"/>
      <c r="C91" s="114"/>
      <c r="D91" s="114"/>
      <c r="E91" s="114"/>
      <c r="F91" s="114"/>
      <c r="G91" s="114"/>
      <c r="H91" s="114"/>
      <c r="I91" s="114"/>
      <c r="J91" s="114"/>
      <c r="K91" s="115"/>
      <c r="L91" s="115"/>
      <c r="M91" s="110"/>
      <c r="N91" s="110"/>
      <c r="O91" s="110"/>
      <c r="P91" s="110"/>
      <c r="Q91" s="110"/>
      <c r="R91" s="110"/>
      <c r="S91" s="110"/>
      <c r="T91" s="110"/>
      <c r="U91" s="110"/>
      <c r="V91" s="110"/>
      <c r="W91" s="110"/>
      <c r="X91" s="110"/>
      <c r="Y91" s="110"/>
      <c r="AL91" s="860" t="s">
        <v>93</v>
      </c>
      <c r="AM91" s="861"/>
      <c r="AN91" s="861"/>
      <c r="AO91" s="861"/>
      <c r="AP91" s="861"/>
      <c r="AQ91" s="861"/>
      <c r="AR91" s="861"/>
      <c r="AS91" s="861"/>
      <c r="AT91" s="861"/>
      <c r="AU91" s="861"/>
      <c r="AV91" s="861"/>
      <c r="AW91" s="861"/>
      <c r="AX91" s="861"/>
      <c r="AY91" s="861"/>
      <c r="AZ91" s="861"/>
      <c r="BA91" s="861"/>
      <c r="BB91" s="861"/>
      <c r="BC91" s="861"/>
      <c r="BD91" s="861"/>
      <c r="BE91" s="861"/>
      <c r="BF91" s="861"/>
      <c r="BG91" s="861"/>
      <c r="BH91" s="861"/>
      <c r="BI91" s="861"/>
      <c r="BJ91" s="861"/>
      <c r="BK91" s="861"/>
      <c r="BL91" s="861"/>
      <c r="BM91" s="862"/>
      <c r="BN91" s="788"/>
      <c r="BO91" s="788"/>
      <c r="BP91" s="788"/>
      <c r="BQ91" s="788"/>
      <c r="BR91" s="788"/>
    </row>
    <row r="92" spans="1:70" s="107" customFormat="1" ht="15" hidden="1" x14ac:dyDescent="0.25">
      <c r="A92" s="110"/>
      <c r="B92" s="116"/>
      <c r="C92" s="116"/>
      <c r="D92" s="116"/>
      <c r="E92" s="116"/>
      <c r="F92" s="116"/>
      <c r="G92" s="116"/>
      <c r="H92" s="116"/>
      <c r="I92" s="116"/>
      <c r="J92" s="116"/>
      <c r="K92" s="117"/>
      <c r="L92" s="117"/>
      <c r="M92" s="117"/>
      <c r="N92" s="112"/>
      <c r="O92" s="112"/>
      <c r="P92" s="112"/>
      <c r="Q92" s="112"/>
      <c r="R92" s="112"/>
      <c r="S92" s="112"/>
      <c r="T92" s="112"/>
      <c r="U92" s="113"/>
      <c r="V92" s="111"/>
      <c r="W92" s="111"/>
      <c r="X92" s="111"/>
      <c r="Y92" s="110"/>
      <c r="AL92" s="146"/>
      <c r="AY92" s="212"/>
      <c r="AZ92" s="212"/>
      <c r="BA92" s="239"/>
      <c r="BB92" s="239"/>
      <c r="BE92" s="142"/>
      <c r="BF92" s="142"/>
      <c r="BG92" s="142"/>
      <c r="BH92" s="142"/>
      <c r="BI92" s="142"/>
      <c r="BJ92" s="142"/>
      <c r="BK92" s="142"/>
      <c r="BL92" s="142"/>
    </row>
    <row r="93" spans="1:70" ht="39.950000000000003" hidden="1" customHeight="1" x14ac:dyDescent="0.25">
      <c r="B93" s="114"/>
      <c r="C93" s="114"/>
      <c r="D93" s="114"/>
      <c r="E93" s="114"/>
      <c r="F93" s="114"/>
      <c r="G93" s="114"/>
      <c r="H93" s="114"/>
      <c r="I93" s="114"/>
      <c r="J93" s="114"/>
      <c r="K93" s="115"/>
      <c r="L93" s="115"/>
      <c r="M93" s="110"/>
      <c r="N93" s="110"/>
      <c r="O93" s="110"/>
      <c r="P93" s="110"/>
      <c r="Q93" s="110"/>
      <c r="R93" s="110"/>
      <c r="S93" s="110"/>
      <c r="T93" s="110"/>
      <c r="U93" s="110"/>
      <c r="V93" s="110"/>
      <c r="W93" s="110"/>
      <c r="X93" s="110"/>
      <c r="Y93" s="110"/>
      <c r="AL93" s="860" t="s">
        <v>94</v>
      </c>
      <c r="AM93" s="861"/>
      <c r="AN93" s="861"/>
      <c r="AO93" s="861"/>
      <c r="AP93" s="861"/>
      <c r="AQ93" s="861"/>
      <c r="AR93" s="861"/>
      <c r="AS93" s="861"/>
      <c r="AT93" s="861"/>
      <c r="AU93" s="861"/>
      <c r="AV93" s="861"/>
      <c r="AW93" s="861"/>
      <c r="AX93" s="861"/>
      <c r="AY93" s="861"/>
      <c r="AZ93" s="861"/>
      <c r="BA93" s="861"/>
      <c r="BB93" s="861"/>
      <c r="BC93" s="861"/>
      <c r="BD93" s="861"/>
      <c r="BE93" s="861"/>
      <c r="BF93" s="861"/>
      <c r="BG93" s="861"/>
      <c r="BH93" s="861"/>
      <c r="BI93" s="861"/>
      <c r="BJ93" s="861"/>
      <c r="BK93" s="861"/>
      <c r="BL93" s="861"/>
      <c r="BM93" s="862"/>
      <c r="BN93" s="788"/>
      <c r="BO93" s="788"/>
      <c r="BP93" s="788"/>
      <c r="BQ93" s="788"/>
      <c r="BR93" s="788"/>
    </row>
    <row r="94" spans="1:70" s="107" customFormat="1" ht="15" hidden="1" x14ac:dyDescent="0.25">
      <c r="A94" s="110"/>
      <c r="B94" s="116"/>
      <c r="C94" s="116"/>
      <c r="D94" s="116"/>
      <c r="E94" s="116"/>
      <c r="F94" s="116"/>
      <c r="G94" s="116"/>
      <c r="H94" s="116"/>
      <c r="I94" s="116"/>
      <c r="J94" s="116"/>
      <c r="K94" s="117"/>
      <c r="L94" s="117"/>
      <c r="M94" s="117"/>
      <c r="N94" s="112"/>
      <c r="O94" s="112"/>
      <c r="P94" s="112"/>
      <c r="Q94" s="112"/>
      <c r="R94" s="112"/>
      <c r="S94" s="112"/>
      <c r="T94" s="112"/>
      <c r="U94" s="113"/>
      <c r="V94" s="111"/>
      <c r="W94" s="111"/>
      <c r="X94" s="111"/>
      <c r="Y94" s="110"/>
      <c r="AL94" s="146"/>
      <c r="AY94" s="212"/>
      <c r="AZ94" s="212"/>
      <c r="BA94" s="239"/>
      <c r="BB94" s="239"/>
      <c r="BE94" s="142"/>
      <c r="BF94" s="142"/>
      <c r="BG94" s="142"/>
      <c r="BH94" s="142"/>
      <c r="BI94" s="142"/>
      <c r="BJ94" s="142"/>
      <c r="BK94" s="142"/>
      <c r="BL94" s="142"/>
    </row>
    <row r="95" spans="1:70" ht="39.950000000000003" hidden="1" customHeight="1" x14ac:dyDescent="0.25">
      <c r="B95" s="114"/>
      <c r="C95" s="114"/>
      <c r="D95" s="114"/>
      <c r="E95" s="114"/>
      <c r="F95" s="114"/>
      <c r="G95" s="114"/>
      <c r="H95" s="114"/>
      <c r="I95" s="114"/>
      <c r="J95" s="114"/>
      <c r="K95" s="115"/>
      <c r="L95" s="115"/>
      <c r="M95" s="110"/>
      <c r="N95" s="110"/>
      <c r="O95" s="110"/>
      <c r="P95" s="110"/>
      <c r="Q95" s="110"/>
      <c r="R95" s="110"/>
      <c r="S95" s="110"/>
      <c r="T95" s="110"/>
      <c r="U95" s="110"/>
      <c r="V95" s="110"/>
      <c r="W95" s="110"/>
      <c r="X95" s="110"/>
      <c r="Y95" s="110"/>
      <c r="AL95" s="860" t="s">
        <v>95</v>
      </c>
      <c r="AM95" s="861"/>
      <c r="AN95" s="861"/>
      <c r="AO95" s="861"/>
      <c r="AP95" s="861"/>
      <c r="AQ95" s="861"/>
      <c r="AR95" s="861"/>
      <c r="AS95" s="861"/>
      <c r="AT95" s="861"/>
      <c r="AU95" s="861"/>
      <c r="AV95" s="861"/>
      <c r="AW95" s="861"/>
      <c r="AX95" s="861"/>
      <c r="AY95" s="861"/>
      <c r="AZ95" s="861"/>
      <c r="BA95" s="861"/>
      <c r="BB95" s="861"/>
      <c r="BC95" s="861"/>
      <c r="BD95" s="861"/>
      <c r="BE95" s="861"/>
      <c r="BF95" s="861"/>
      <c r="BG95" s="861"/>
      <c r="BH95" s="861"/>
      <c r="BI95" s="861"/>
      <c r="BJ95" s="861"/>
      <c r="BK95" s="861"/>
      <c r="BL95" s="861"/>
      <c r="BM95" s="862"/>
      <c r="BN95" s="788"/>
      <c r="BO95" s="788"/>
      <c r="BP95" s="788"/>
      <c r="BQ95" s="788"/>
      <c r="BR95" s="788"/>
    </row>
    <row r="96" spans="1:70" s="107" customFormat="1" ht="15" hidden="1" x14ac:dyDescent="0.25">
      <c r="A96" s="110"/>
      <c r="B96" s="116"/>
      <c r="C96" s="116"/>
      <c r="D96" s="116"/>
      <c r="E96" s="116"/>
      <c r="F96" s="116"/>
      <c r="G96" s="116"/>
      <c r="H96" s="116"/>
      <c r="I96" s="116"/>
      <c r="J96" s="116"/>
      <c r="K96" s="117"/>
      <c r="L96" s="117"/>
      <c r="M96" s="117"/>
      <c r="N96" s="112"/>
      <c r="O96" s="112"/>
      <c r="P96" s="112"/>
      <c r="Q96" s="112"/>
      <c r="R96" s="112"/>
      <c r="S96" s="112"/>
      <c r="T96" s="112"/>
      <c r="U96" s="113"/>
      <c r="V96" s="111"/>
      <c r="W96" s="111"/>
      <c r="X96" s="111"/>
      <c r="Y96" s="110"/>
      <c r="AL96" s="146"/>
      <c r="AY96" s="212"/>
      <c r="AZ96" s="212"/>
      <c r="BA96" s="239"/>
      <c r="BB96" s="239"/>
      <c r="BE96" s="142"/>
      <c r="BF96" s="142"/>
      <c r="BG96" s="142"/>
      <c r="BH96" s="142"/>
      <c r="BI96" s="142"/>
      <c r="BJ96" s="142"/>
      <c r="BK96" s="142"/>
      <c r="BL96" s="142"/>
    </row>
    <row r="97" spans="1:70" ht="39.950000000000003" hidden="1" customHeight="1" x14ac:dyDescent="0.25">
      <c r="B97" s="114"/>
      <c r="C97" s="114"/>
      <c r="D97" s="114"/>
      <c r="E97" s="114"/>
      <c r="F97" s="114"/>
      <c r="G97" s="114"/>
      <c r="H97" s="114"/>
      <c r="I97" s="114"/>
      <c r="J97" s="114"/>
      <c r="K97" s="115"/>
      <c r="L97" s="115"/>
      <c r="M97" s="110"/>
      <c r="N97" s="110"/>
      <c r="O97" s="110"/>
      <c r="P97" s="110"/>
      <c r="Q97" s="110"/>
      <c r="R97" s="110"/>
      <c r="S97" s="110"/>
      <c r="T97" s="110"/>
      <c r="U97" s="110"/>
      <c r="V97" s="110"/>
      <c r="W97" s="110"/>
      <c r="X97" s="110"/>
      <c r="Y97" s="110"/>
      <c r="AL97" s="860" t="s">
        <v>96</v>
      </c>
      <c r="AM97" s="861"/>
      <c r="AN97" s="861"/>
      <c r="AO97" s="861"/>
      <c r="AP97" s="861"/>
      <c r="AQ97" s="861"/>
      <c r="AR97" s="861"/>
      <c r="AS97" s="861"/>
      <c r="AT97" s="861"/>
      <c r="AU97" s="861"/>
      <c r="AV97" s="861"/>
      <c r="AW97" s="861"/>
      <c r="AX97" s="861"/>
      <c r="AY97" s="861"/>
      <c r="AZ97" s="861"/>
      <c r="BA97" s="861"/>
      <c r="BB97" s="861"/>
      <c r="BC97" s="861"/>
      <c r="BD97" s="861"/>
      <c r="BE97" s="861"/>
      <c r="BF97" s="861"/>
      <c r="BG97" s="861"/>
      <c r="BH97" s="861"/>
      <c r="BI97" s="861"/>
      <c r="BJ97" s="861"/>
      <c r="BK97" s="861"/>
      <c r="BL97" s="861"/>
      <c r="BM97" s="862"/>
      <c r="BN97" s="788"/>
      <c r="BO97" s="788"/>
      <c r="BP97" s="788"/>
      <c r="BQ97" s="788"/>
      <c r="BR97" s="788"/>
    </row>
    <row r="98" spans="1:70" ht="15" hidden="1" x14ac:dyDescent="0.25">
      <c r="A98" s="110"/>
      <c r="B98" s="18"/>
      <c r="C98" s="18"/>
      <c r="D98" s="18"/>
      <c r="E98" s="18"/>
      <c r="F98" s="18"/>
      <c r="G98" s="18"/>
      <c r="H98" s="18"/>
      <c r="I98" s="18"/>
      <c r="J98" s="18"/>
      <c r="K98" s="89"/>
      <c r="L98" s="89"/>
      <c r="M98" s="89"/>
      <c r="N98" s="90"/>
      <c r="O98" s="90"/>
      <c r="P98" s="90"/>
      <c r="Q98" s="90"/>
      <c r="R98" s="90"/>
      <c r="S98" s="90"/>
      <c r="T98" s="90"/>
      <c r="U98" s="90"/>
      <c r="V98" s="18"/>
      <c r="W98" s="18"/>
      <c r="X98" s="18"/>
      <c r="Y98" s="110"/>
      <c r="AL98" s="146"/>
    </row>
    <row r="99" spans="1:70" ht="39.950000000000003" hidden="1" customHeight="1" x14ac:dyDescent="0.25">
      <c r="B99" s="114"/>
      <c r="C99" s="114"/>
      <c r="D99" s="114"/>
      <c r="E99" s="114"/>
      <c r="F99" s="114"/>
      <c r="G99" s="114"/>
      <c r="H99" s="114"/>
      <c r="I99" s="114"/>
      <c r="J99" s="114"/>
      <c r="K99" s="115"/>
      <c r="L99" s="115"/>
      <c r="M99" s="110"/>
      <c r="N99" s="110"/>
      <c r="O99" s="110"/>
      <c r="P99" s="110"/>
      <c r="Q99" s="110"/>
      <c r="R99" s="110"/>
      <c r="S99" s="110"/>
      <c r="T99" s="110"/>
      <c r="U99" s="110"/>
      <c r="V99" s="110"/>
      <c r="W99" s="110"/>
      <c r="X99" s="110"/>
      <c r="Y99" s="110"/>
      <c r="AL99" s="860" t="s">
        <v>97</v>
      </c>
      <c r="AM99" s="861"/>
      <c r="AN99" s="861"/>
      <c r="AO99" s="861"/>
      <c r="AP99" s="861"/>
      <c r="AQ99" s="861"/>
      <c r="AR99" s="861"/>
      <c r="AS99" s="861"/>
      <c r="AT99" s="861"/>
      <c r="AU99" s="861"/>
      <c r="AV99" s="861"/>
      <c r="AW99" s="861"/>
      <c r="AX99" s="861"/>
      <c r="AY99" s="861"/>
      <c r="AZ99" s="861"/>
      <c r="BA99" s="861"/>
      <c r="BB99" s="861"/>
      <c r="BC99" s="861"/>
      <c r="BD99" s="861"/>
      <c r="BE99" s="861"/>
      <c r="BF99" s="861"/>
      <c r="BG99" s="861"/>
      <c r="BH99" s="861"/>
      <c r="BI99" s="861"/>
      <c r="BJ99" s="861"/>
      <c r="BK99" s="861"/>
      <c r="BL99" s="861"/>
      <c r="BM99" s="862"/>
      <c r="BN99" s="788"/>
      <c r="BO99" s="788"/>
      <c r="BP99" s="788"/>
      <c r="BQ99" s="788"/>
      <c r="BR99" s="788"/>
    </row>
    <row r="100" spans="1:70" ht="15.75" customHeight="1" x14ac:dyDescent="0.25">
      <c r="A100" s="110"/>
      <c r="B100" s="18"/>
      <c r="C100" s="18"/>
      <c r="D100" s="18"/>
      <c r="E100" s="18"/>
      <c r="F100" s="18"/>
      <c r="G100" s="18"/>
      <c r="H100" s="18"/>
      <c r="I100" s="18"/>
      <c r="J100" s="18"/>
      <c r="K100" s="89"/>
      <c r="L100" s="89"/>
      <c r="M100" s="89"/>
      <c r="N100" s="90"/>
      <c r="O100" s="90"/>
      <c r="P100" s="90"/>
      <c r="Q100" s="90"/>
      <c r="R100" s="90"/>
      <c r="S100" s="90"/>
      <c r="T100" s="90"/>
      <c r="U100" s="90"/>
      <c r="V100" s="18"/>
      <c r="W100" s="18"/>
      <c r="X100" s="18"/>
      <c r="Y100" s="110"/>
    </row>
    <row r="101" spans="1:70" ht="15" x14ac:dyDescent="0.25">
      <c r="A101" s="110"/>
      <c r="BF101"/>
      <c r="BG101"/>
      <c r="BH101"/>
      <c r="BI101"/>
      <c r="BJ101"/>
      <c r="BK101"/>
      <c r="BL101"/>
      <c r="BM101"/>
      <c r="BN101"/>
      <c r="BO101"/>
      <c r="BP101"/>
      <c r="BQ101"/>
      <c r="BR101"/>
    </row>
    <row r="102" spans="1:70" ht="15" x14ac:dyDescent="0.25">
      <c r="A102" s="110"/>
      <c r="BF102" s="340"/>
      <c r="BG102"/>
      <c r="BH102"/>
      <c r="BI102"/>
      <c r="BJ102"/>
      <c r="BK102"/>
      <c r="BL102"/>
      <c r="BM102"/>
      <c r="BN102"/>
      <c r="BO102"/>
      <c r="BP102"/>
      <c r="BQ102"/>
      <c r="BR102"/>
    </row>
    <row r="103" spans="1:70" ht="15" x14ac:dyDescent="0.25">
      <c r="A103" s="110"/>
      <c r="BF103"/>
      <c r="BG103"/>
      <c r="BH103"/>
      <c r="BI103"/>
      <c r="BJ103"/>
      <c r="BK103"/>
      <c r="BL103"/>
      <c r="BM103"/>
      <c r="BN103"/>
      <c r="BO103"/>
      <c r="BP103"/>
      <c r="BQ103"/>
      <c r="BR103"/>
    </row>
    <row r="104" spans="1:70" ht="15" x14ac:dyDescent="0.25">
      <c r="A104" s="110"/>
      <c r="BA104" s="668"/>
      <c r="BF104"/>
      <c r="BG104"/>
      <c r="BH104"/>
      <c r="BI104"/>
      <c r="BJ104"/>
      <c r="BK104"/>
      <c r="BL104"/>
      <c r="BM104"/>
      <c r="BN104"/>
      <c r="BO104"/>
      <c r="BP104"/>
      <c r="BQ104"/>
      <c r="BR104"/>
    </row>
    <row r="105" spans="1:70" ht="15" x14ac:dyDescent="0.25">
      <c r="A105" s="109"/>
      <c r="BF105"/>
      <c r="BG105"/>
      <c r="BH105"/>
      <c r="BI105"/>
      <c r="BJ105"/>
      <c r="BK105"/>
      <c r="BL105"/>
      <c r="BM105"/>
      <c r="BN105"/>
      <c r="BO105"/>
      <c r="BP105"/>
      <c r="BQ105"/>
      <c r="BR105"/>
    </row>
    <row r="106" spans="1:70" ht="15" x14ac:dyDescent="0.25">
      <c r="A106" s="110"/>
      <c r="BF106"/>
      <c r="BG106"/>
      <c r="BH106"/>
      <c r="BI106"/>
      <c r="BJ106"/>
      <c r="BK106"/>
      <c r="BL106"/>
      <c r="BM106"/>
      <c r="BN106"/>
      <c r="BO106"/>
      <c r="BP106"/>
      <c r="BQ106"/>
      <c r="BR106"/>
    </row>
    <row r="107" spans="1:70" ht="15" x14ac:dyDescent="0.25">
      <c r="A107" s="110"/>
    </row>
    <row r="108" spans="1:70" ht="15" x14ac:dyDescent="0.25">
      <c r="A108" s="110"/>
    </row>
    <row r="109" spans="1:70" ht="15" x14ac:dyDescent="0.25">
      <c r="A109" s="110"/>
    </row>
    <row r="110" spans="1:70" ht="15" x14ac:dyDescent="0.25">
      <c r="A110" s="110"/>
    </row>
    <row r="111" spans="1:70" ht="15" x14ac:dyDescent="0.25">
      <c r="A111" s="118"/>
      <c r="BB111" s="142"/>
      <c r="BG111"/>
      <c r="BH111"/>
      <c r="BI111"/>
      <c r="BJ111"/>
      <c r="BK111"/>
      <c r="BL111"/>
      <c r="BM111"/>
      <c r="BN111"/>
      <c r="BO111"/>
      <c r="BP111"/>
      <c r="BQ111"/>
      <c r="BR111"/>
    </row>
    <row r="112" spans="1:70" x14ac:dyDescent="0.2">
      <c r="BB112" s="142"/>
      <c r="BG112"/>
      <c r="BH112"/>
      <c r="BI112"/>
      <c r="BJ112"/>
      <c r="BK112"/>
      <c r="BL112"/>
      <c r="BM112"/>
      <c r="BN112"/>
      <c r="BO112"/>
      <c r="BP112"/>
      <c r="BQ112"/>
      <c r="BR112"/>
    </row>
    <row r="113" spans="1:70" x14ac:dyDescent="0.2">
      <c r="BB113" s="142"/>
      <c r="BG113"/>
      <c r="BH113"/>
      <c r="BI113"/>
      <c r="BJ113"/>
      <c r="BK113"/>
      <c r="BL113"/>
      <c r="BM113"/>
      <c r="BN113"/>
      <c r="BO113"/>
      <c r="BP113"/>
      <c r="BQ113"/>
      <c r="BR113"/>
    </row>
    <row r="115" spans="1:70" x14ac:dyDescent="0.2">
      <c r="A115"/>
    </row>
    <row r="116" spans="1:70" x14ac:dyDescent="0.2">
      <c r="A116"/>
    </row>
    <row r="117" spans="1:70" x14ac:dyDescent="0.2">
      <c r="A117"/>
    </row>
    <row r="118" spans="1:70" x14ac:dyDescent="0.2">
      <c r="A118"/>
    </row>
    <row r="119" spans="1:70" x14ac:dyDescent="0.2">
      <c r="A119"/>
    </row>
    <row r="120" spans="1:70" x14ac:dyDescent="0.2">
      <c r="A120"/>
    </row>
    <row r="121" spans="1:70" x14ac:dyDescent="0.2">
      <c r="A121"/>
    </row>
    <row r="122" spans="1:70" x14ac:dyDescent="0.2">
      <c r="A122"/>
    </row>
    <row r="123" spans="1:70" x14ac:dyDescent="0.2">
      <c r="A123"/>
    </row>
    <row r="124" spans="1:70" x14ac:dyDescent="0.2">
      <c r="A124"/>
    </row>
    <row r="125" spans="1:70" x14ac:dyDescent="0.2">
      <c r="A125"/>
    </row>
    <row r="126" spans="1:70" x14ac:dyDescent="0.2">
      <c r="A126"/>
    </row>
    <row r="127" spans="1:70" x14ac:dyDescent="0.2">
      <c r="A127"/>
    </row>
    <row r="128" spans="1:70"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sheetData>
  <sheetProtection selectLockedCells="1" selectUnlockedCells="1"/>
  <mergeCells count="33">
    <mergeCell ref="AL95:BM95"/>
    <mergeCell ref="AL97:BM97"/>
    <mergeCell ref="AL99:BM99"/>
    <mergeCell ref="AL83:BM83"/>
    <mergeCell ref="AL85:BM85"/>
    <mergeCell ref="AL87:BM87"/>
    <mergeCell ref="AL89:BM89"/>
    <mergeCell ref="AL65:BM65"/>
    <mergeCell ref="AL67:BM67"/>
    <mergeCell ref="AL93:BM93"/>
    <mergeCell ref="AL71:BM71"/>
    <mergeCell ref="AL73:BM73"/>
    <mergeCell ref="AL75:BM75"/>
    <mergeCell ref="AL77:BM77"/>
    <mergeCell ref="AL91:BM91"/>
    <mergeCell ref="AL81:BM81"/>
    <mergeCell ref="AL79:BM79"/>
    <mergeCell ref="AL59:BM59"/>
    <mergeCell ref="AL69:BM69"/>
    <mergeCell ref="AL61:BM61"/>
    <mergeCell ref="AL63:BM63"/>
    <mergeCell ref="AQ36:BM36"/>
    <mergeCell ref="AL39:BM39"/>
    <mergeCell ref="AL47:BM47"/>
    <mergeCell ref="AL49:BM49"/>
    <mergeCell ref="AL51:BM51"/>
    <mergeCell ref="AL53:BM53"/>
    <mergeCell ref="AO38:BM38"/>
    <mergeCell ref="AL55:BM55"/>
    <mergeCell ref="AL41:BM41"/>
    <mergeCell ref="AL45:BM45"/>
    <mergeCell ref="AL43:BM43"/>
    <mergeCell ref="AL57:BM57"/>
  </mergeCells>
  <pageMargins left="0.75" right="0.75" top="0.86111111111111105" bottom="1" header="0.5" footer="0.5"/>
  <pageSetup paperSize="9" scale="60" firstPageNumber="0" orientation="landscape" horizontalDpi="300" verticalDpi="300" r:id="rId1"/>
  <headerFooter alignWithMargins="0">
    <oddHeader>&amp;C&amp;"Arial,Bold"SAMPLE KPI</oddHeader>
    <oddFooter>&amp;L&amp;A&amp;C&amp;N&amp;R&amp;F</oddFooter>
  </headerFooter>
  <ignoredErrors>
    <ignoredError sqref="BI5:BI26 A3:BG20 BI34 A28:BG34 A27:BD27 BI4 A22:BG26 B21:BG21 BS1:BS3 BS35:BS1048576 BP29:BP34 BS4:BS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BP715"/>
  <sheetViews>
    <sheetView showGridLines="0" zoomScaleNormal="100" workbookViewId="0"/>
  </sheetViews>
  <sheetFormatPr defaultRowHeight="12.75" x14ac:dyDescent="0.2"/>
  <cols>
    <col min="1" max="1" width="16" customWidth="1"/>
    <col min="2" max="2" width="16" style="20" customWidth="1"/>
    <col min="3" max="3" width="7.140625" style="132" bestFit="1" customWidth="1"/>
    <col min="4" max="4" width="15.28515625" style="21" customWidth="1"/>
    <col min="5" max="5" width="8" style="21" customWidth="1"/>
    <col min="6" max="7" width="12.140625" style="21" customWidth="1"/>
    <col min="8" max="8" width="9" style="21" customWidth="1"/>
    <col min="9" max="9" width="11.140625" customWidth="1"/>
    <col min="10" max="10" width="0" hidden="1" customWidth="1"/>
  </cols>
  <sheetData>
    <row r="1" spans="1:68" ht="13.5" thickBot="1" x14ac:dyDescent="0.25">
      <c r="A1" s="677" t="s">
        <v>328</v>
      </c>
      <c r="B1" s="678"/>
      <c r="C1" s="679"/>
      <c r="D1" s="680"/>
      <c r="E1" s="680"/>
      <c r="F1" s="680"/>
      <c r="G1" s="680"/>
      <c r="H1" s="680"/>
    </row>
    <row r="2" spans="1:68" x14ac:dyDescent="0.2">
      <c r="A2" s="216" t="s">
        <v>19</v>
      </c>
      <c r="B2" s="689" t="s">
        <v>20</v>
      </c>
      <c r="C2" s="671" t="s">
        <v>21</v>
      </c>
      <c r="D2" s="672" t="s">
        <v>22</v>
      </c>
      <c r="E2" s="672" t="s">
        <v>21</v>
      </c>
      <c r="F2" s="672" t="s">
        <v>23</v>
      </c>
      <c r="G2" s="672" t="s">
        <v>24</v>
      </c>
      <c r="H2" s="672" t="s">
        <v>21</v>
      </c>
    </row>
    <row r="3" spans="1:68" x14ac:dyDescent="0.2">
      <c r="A3" s="217" t="s">
        <v>25</v>
      </c>
      <c r="B3" s="690">
        <f>'AR - Market 1'!B3+'AR - Market 2'!B3</f>
        <v>2918889.5300000003</v>
      </c>
      <c r="C3" s="221">
        <f>B3/$B$10</f>
        <v>0.65423715245168435</v>
      </c>
      <c r="D3" s="690">
        <f>'AR - Market 1'!D3+'AR - Market 2'!D3</f>
        <v>109027.36999999998</v>
      </c>
      <c r="E3" s="221">
        <f>D3/$D$10</f>
        <v>8.1818365061684259E-2</v>
      </c>
      <c r="F3" s="690">
        <f>'AR - Market 1'!F3+'AR - Market 2'!F3</f>
        <v>-14581.17</v>
      </c>
      <c r="G3" s="690">
        <f t="shared" ref="G3:G9" si="0">B3+D3</f>
        <v>3027916.9000000004</v>
      </c>
      <c r="H3" s="221">
        <f>G3/$G$10</f>
        <v>0.52258896081605177</v>
      </c>
    </row>
    <row r="4" spans="1:68" x14ac:dyDescent="0.2">
      <c r="A4" s="217" t="s">
        <v>26</v>
      </c>
      <c r="B4" s="690">
        <f>'AR - Market 1'!B4+'AR - Market 2'!B4</f>
        <v>698422.18</v>
      </c>
      <c r="C4" s="221">
        <f t="shared" ref="C4:C10" si="1">B4/$B$10</f>
        <v>0.15654369017942851</v>
      </c>
      <c r="D4" s="690">
        <f>'AR - Market 1'!D4+'AR - Market 2'!D4</f>
        <v>245081.33000000007</v>
      </c>
      <c r="E4" s="221">
        <f t="shared" ref="E4:E10" si="2">D4/$D$10</f>
        <v>0.18391853098669739</v>
      </c>
      <c r="F4" s="690">
        <f>'AR - Market 1'!F4+'AR - Market 2'!F4</f>
        <v>-5686.2999999999984</v>
      </c>
      <c r="G4" s="690">
        <f t="shared" si="0"/>
        <v>943503.51000000013</v>
      </c>
      <c r="H4" s="224">
        <f t="shared" ref="H4:H10" si="3">G4/$G$10</f>
        <v>0.16283951478892875</v>
      </c>
      <c r="BP4">
        <v>5974908.2901375443</v>
      </c>
    </row>
    <row r="5" spans="1:68" x14ac:dyDescent="0.2">
      <c r="A5" s="217" t="s">
        <v>27</v>
      </c>
      <c r="B5" s="690">
        <f>'AR - Market 1'!B5+'AR - Market 2'!B5</f>
        <v>255037.44</v>
      </c>
      <c r="C5" s="221">
        <f t="shared" si="1"/>
        <v>5.7163851800231466E-2</v>
      </c>
      <c r="D5" s="690">
        <f>'AR - Market 1'!D5+'AR - Market 2'!D5</f>
        <v>214942.3</v>
      </c>
      <c r="E5" s="221">
        <f t="shared" si="2"/>
        <v>0.16130103448884495</v>
      </c>
      <c r="F5" s="690">
        <f>'AR - Market 1'!F5+'AR - Market 2'!F5</f>
        <v>-9151.58</v>
      </c>
      <c r="G5" s="690">
        <f t="shared" si="0"/>
        <v>469979.74</v>
      </c>
      <c r="H5" s="224">
        <f t="shared" si="3"/>
        <v>8.1113924867356219E-2</v>
      </c>
      <c r="BP5">
        <v>377275.78999996191</v>
      </c>
    </row>
    <row r="6" spans="1:68" x14ac:dyDescent="0.2">
      <c r="A6" s="217" t="s">
        <v>28</v>
      </c>
      <c r="B6" s="690">
        <f>'AR - Market 1'!B6+'AR - Market 2'!B6</f>
        <v>154589.97999999998</v>
      </c>
      <c r="C6" s="221">
        <f t="shared" si="1"/>
        <v>3.4649652641277867E-2</v>
      </c>
      <c r="D6" s="690">
        <f>'AR - Market 1'!D6+'AR - Market 2'!D6</f>
        <v>155660.76</v>
      </c>
      <c r="E6" s="221">
        <f t="shared" si="2"/>
        <v>0.11681386873277071</v>
      </c>
      <c r="F6" s="690">
        <f>'AR - Market 1'!F6+'AR - Market 2'!F6</f>
        <v>-8366</v>
      </c>
      <c r="G6" s="690">
        <f t="shared" si="0"/>
        <v>310250.74</v>
      </c>
      <c r="H6" s="224">
        <f t="shared" si="3"/>
        <v>5.3546255450078913E-2</v>
      </c>
      <c r="BP6">
        <v>1723859.1027311464</v>
      </c>
    </row>
    <row r="7" spans="1:68" x14ac:dyDescent="0.2">
      <c r="A7" s="217" t="s">
        <v>151</v>
      </c>
      <c r="B7" s="690">
        <f>'AR - Market 1'!B7+'AR - Market 2'!B7</f>
        <v>125079.96</v>
      </c>
      <c r="C7" s="221">
        <f t="shared" si="1"/>
        <v>2.8035304528695397E-2</v>
      </c>
      <c r="D7" s="690">
        <f>'AR - Market 1'!D7+'AR - Market 2'!D7</f>
        <v>89341.069999999992</v>
      </c>
      <c r="E7" s="221">
        <f t="shared" si="2"/>
        <v>6.7045002371986864E-2</v>
      </c>
      <c r="F7" s="690">
        <f>'AR - Market 1'!F7+'AR - Market 2'!F7</f>
        <v>-5759.6500000000005</v>
      </c>
      <c r="G7" s="690">
        <f t="shared" si="0"/>
        <v>214421.03</v>
      </c>
      <c r="H7" s="224">
        <f t="shared" si="3"/>
        <v>3.7006981018801226E-2</v>
      </c>
      <c r="BP7">
        <v>1886936.4053251962</v>
      </c>
    </row>
    <row r="8" spans="1:68" x14ac:dyDescent="0.2">
      <c r="A8" s="217" t="s">
        <v>152</v>
      </c>
      <c r="B8" s="690">
        <f>'AR - Market 1'!B8+'AR - Market 2'!B8</f>
        <v>96826</v>
      </c>
      <c r="C8" s="221">
        <f t="shared" si="1"/>
        <v>2.1702488522505607E-2</v>
      </c>
      <c r="D8" s="690">
        <f>'AR - Market 1'!D8+'AR - Market 2'!D8</f>
        <v>81541.969999999987</v>
      </c>
      <c r="E8" s="221">
        <f t="shared" si="2"/>
        <v>6.1192255387880187E-2</v>
      </c>
      <c r="F8" s="690">
        <f>'AR - Market 1'!F8+'AR - Market 2'!F8</f>
        <v>-4863.16</v>
      </c>
      <c r="G8" s="690">
        <f t="shared" si="0"/>
        <v>178367.96999999997</v>
      </c>
      <c r="H8" s="224">
        <f t="shared" si="3"/>
        <v>3.0784574069773404E-2</v>
      </c>
      <c r="BP8">
        <v>272134.43085956585</v>
      </c>
    </row>
    <row r="9" spans="1:68" ht="13.5" thickBot="1" x14ac:dyDescent="0.25">
      <c r="A9" s="226" t="s">
        <v>153</v>
      </c>
      <c r="B9" s="691">
        <f>'AR - Market 1'!B9+'AR - Market 2'!B9</f>
        <v>212670.92000000004</v>
      </c>
      <c r="C9" s="221">
        <f t="shared" si="1"/>
        <v>4.7667859876176943E-2</v>
      </c>
      <c r="D9" s="691">
        <f>'AR - Market 1'!D9+'AR - Market 2'!D9</f>
        <v>436958.95999999979</v>
      </c>
      <c r="E9" s="221">
        <f t="shared" si="2"/>
        <v>0.32791094297013568</v>
      </c>
      <c r="F9" s="691">
        <f>'AR - Market 1'!F9+'AR - Market 2'!F9</f>
        <v>-116066.12000000001</v>
      </c>
      <c r="G9" s="691">
        <f t="shared" si="0"/>
        <v>649629.87999999989</v>
      </c>
      <c r="H9" s="224">
        <f t="shared" si="3"/>
        <v>0.11211978898900968</v>
      </c>
    </row>
    <row r="10" spans="1:68" ht="13.5" thickBot="1" x14ac:dyDescent="0.25">
      <c r="A10" s="232" t="s">
        <v>24</v>
      </c>
      <c r="B10" s="692">
        <f>SUM(B3:B9)</f>
        <v>4461516.01</v>
      </c>
      <c r="C10" s="235">
        <f t="shared" si="1"/>
        <v>1</v>
      </c>
      <c r="D10" s="692">
        <f>SUM(D3:D9)</f>
        <v>1332553.7599999998</v>
      </c>
      <c r="E10" s="235">
        <f t="shared" si="2"/>
        <v>1</v>
      </c>
      <c r="F10" s="692">
        <f>SUM(F3:F9)</f>
        <v>-164473.98000000001</v>
      </c>
      <c r="G10" s="692">
        <f>SUM(G3:G9)</f>
        <v>5794069.7700000005</v>
      </c>
      <c r="H10" s="235">
        <f t="shared" si="3"/>
        <v>1</v>
      </c>
      <c r="BP10">
        <v>2105614.8973325035</v>
      </c>
    </row>
    <row r="13" spans="1:68" ht="13.5" thickBot="1" x14ac:dyDescent="0.25">
      <c r="A13" s="677" t="s">
        <v>328</v>
      </c>
      <c r="B13" s="678"/>
      <c r="C13" s="679"/>
      <c r="D13" s="680"/>
      <c r="E13" s="680"/>
      <c r="F13" s="680"/>
      <c r="G13" s="680"/>
      <c r="H13" s="680"/>
    </row>
    <row r="14" spans="1:68" x14ac:dyDescent="0.2">
      <c r="A14" s="216" t="s">
        <v>19</v>
      </c>
      <c r="B14" s="689" t="s">
        <v>20</v>
      </c>
      <c r="C14" s="671" t="s">
        <v>21</v>
      </c>
      <c r="D14" s="672" t="s">
        <v>22</v>
      </c>
      <c r="E14" s="672" t="s">
        <v>21</v>
      </c>
      <c r="F14" s="672" t="s">
        <v>23</v>
      </c>
      <c r="G14" s="672" t="s">
        <v>24</v>
      </c>
      <c r="H14" s="672" t="s">
        <v>21</v>
      </c>
    </row>
    <row r="15" spans="1:68" x14ac:dyDescent="0.2">
      <c r="A15" s="217" t="s">
        <v>25</v>
      </c>
      <c r="B15" s="690">
        <f>'AR - Market 1'!B15+'AR - Market 2'!B15</f>
        <v>2659830.5699999994</v>
      </c>
      <c r="C15" s="221">
        <f>B15/$B$22</f>
        <v>0.66171932707435666</v>
      </c>
      <c r="D15" s="690">
        <f>'AR - Market 1'!D15+'AR - Market 2'!D15</f>
        <v>113742.18000000002</v>
      </c>
      <c r="E15" s="221">
        <f>D15/$D$22</f>
        <v>8.5578191074079879E-2</v>
      </c>
      <c r="F15" s="690">
        <f>'AR - Market 1'!F15+'AR - Market 2'!F15</f>
        <v>-60557.79</v>
      </c>
      <c r="G15" s="690">
        <f t="shared" ref="G15:G21" si="4">B15+D15</f>
        <v>2773572.7499999995</v>
      </c>
      <c r="H15" s="224">
        <f>G15/$G$22</f>
        <v>0.51855299066008198</v>
      </c>
    </row>
    <row r="16" spans="1:68" x14ac:dyDescent="0.2">
      <c r="A16" s="217" t="s">
        <v>26</v>
      </c>
      <c r="B16" s="690">
        <f>'AR - Market 1'!B16+'AR - Market 2'!B16</f>
        <v>542413.64000000013</v>
      </c>
      <c r="C16" s="221">
        <f t="shared" ref="C16:C22" si="5">B16/$B$22</f>
        <v>0.13494302716309953</v>
      </c>
      <c r="D16" s="690">
        <f>'AR - Market 1'!D16+'AR - Market 2'!D16</f>
        <v>284724.63999999996</v>
      </c>
      <c r="E16" s="221">
        <f t="shared" ref="E16:E22" si="6">D16/$D$22</f>
        <v>0.21422325161535147</v>
      </c>
      <c r="F16" s="690">
        <f>'AR - Market 1'!F16+'AR - Market 2'!F16</f>
        <v>-22030.689999999995</v>
      </c>
      <c r="G16" s="690">
        <f t="shared" si="4"/>
        <v>827138.28</v>
      </c>
      <c r="H16" s="224">
        <f t="shared" ref="H16:H22" si="7">G16/$G$22</f>
        <v>0.15464351125581124</v>
      </c>
      <c r="BP16">
        <v>5974908.2901375443</v>
      </c>
    </row>
    <row r="17" spans="1:68" x14ac:dyDescent="0.2">
      <c r="A17" s="217" t="s">
        <v>27</v>
      </c>
      <c r="B17" s="690">
        <f>'AR - Market 1'!B17+'AR - Market 2'!B17</f>
        <v>248212.6</v>
      </c>
      <c r="C17" s="221">
        <f t="shared" si="5"/>
        <v>6.1750953799804061E-2</v>
      </c>
      <c r="D17" s="690">
        <f>'AR - Market 1'!D17+'AR - Market 2'!D17</f>
        <v>195449.23999999993</v>
      </c>
      <c r="E17" s="221">
        <f t="shared" si="6"/>
        <v>0.14705355925131455</v>
      </c>
      <c r="F17" s="690">
        <f>'AR - Market 1'!F17+'AR - Market 2'!F17</f>
        <v>-13873.02</v>
      </c>
      <c r="G17" s="690">
        <f t="shared" si="4"/>
        <v>443661.83999999997</v>
      </c>
      <c r="H17" s="224">
        <f t="shared" si="7"/>
        <v>8.2947950066842413E-2</v>
      </c>
      <c r="BP17">
        <v>377275.78999996191</v>
      </c>
    </row>
    <row r="18" spans="1:68" x14ac:dyDescent="0.2">
      <c r="A18" s="217" t="s">
        <v>28</v>
      </c>
      <c r="B18" s="690">
        <f>'AR - Market 1'!B18+'AR - Market 2'!B18</f>
        <v>167528.80000000002</v>
      </c>
      <c r="C18" s="221">
        <f t="shared" si="5"/>
        <v>4.1678235468048823E-2</v>
      </c>
      <c r="D18" s="690">
        <f>'AR - Market 1'!D18+'AR - Market 2'!D18</f>
        <v>106054.63</v>
      </c>
      <c r="E18" s="221">
        <f t="shared" si="6"/>
        <v>7.979417477694592E-2</v>
      </c>
      <c r="F18" s="690">
        <f>'AR - Market 1'!F18+'AR - Market 2'!F18</f>
        <v>-6284.4400000000005</v>
      </c>
      <c r="G18" s="690">
        <f t="shared" si="4"/>
        <v>273583.43000000005</v>
      </c>
      <c r="H18" s="224">
        <f t="shared" si="7"/>
        <v>5.1149733073179077E-2</v>
      </c>
      <c r="BP18">
        <v>1723859.1027311464</v>
      </c>
    </row>
    <row r="19" spans="1:68" x14ac:dyDescent="0.2">
      <c r="A19" s="217" t="s">
        <v>151</v>
      </c>
      <c r="B19" s="690">
        <f>'AR - Market 1'!B19+'AR - Market 2'!B19</f>
        <v>112482.28000000003</v>
      </c>
      <c r="C19" s="221">
        <f t="shared" si="5"/>
        <v>2.7983624020604215E-2</v>
      </c>
      <c r="D19" s="690">
        <f>'AR - Market 1'!D19+'AR - Market 2'!D19</f>
        <v>83622.67</v>
      </c>
      <c r="E19" s="221">
        <f t="shared" si="6"/>
        <v>6.2916649139173567E-2</v>
      </c>
      <c r="F19" s="690">
        <f>'AR - Market 1'!F19+'AR - Market 2'!F19</f>
        <v>-5958.2900000000009</v>
      </c>
      <c r="G19" s="690">
        <f t="shared" si="4"/>
        <v>196104.95</v>
      </c>
      <c r="H19" s="224">
        <f t="shared" si="7"/>
        <v>3.6664193613001807E-2</v>
      </c>
      <c r="BP19">
        <v>1886936.4053251962</v>
      </c>
    </row>
    <row r="20" spans="1:68" x14ac:dyDescent="0.2">
      <c r="A20" s="217" t="s">
        <v>152</v>
      </c>
      <c r="B20" s="690">
        <f>'AR - Market 1'!B20+'AR - Market 2'!B20</f>
        <v>84828.37999999999</v>
      </c>
      <c r="C20" s="221">
        <f t="shared" si="5"/>
        <v>2.1103817349692248E-2</v>
      </c>
      <c r="D20" s="690">
        <f>'AR - Market 1'!D20+'AR - Market 2'!D20</f>
        <v>100867.7</v>
      </c>
      <c r="E20" s="221">
        <f t="shared" si="6"/>
        <v>7.5891593635737983E-2</v>
      </c>
      <c r="F20" s="690">
        <f>'AR - Market 1'!F20+'AR - Market 2'!F20</f>
        <v>-5108.2900000000009</v>
      </c>
      <c r="G20" s="690">
        <f t="shared" si="4"/>
        <v>185696.08</v>
      </c>
      <c r="H20" s="224">
        <f t="shared" si="7"/>
        <v>3.4718129401096059E-2</v>
      </c>
      <c r="BP20">
        <v>272134.43085956585</v>
      </c>
    </row>
    <row r="21" spans="1:68" ht="13.5" thickBot="1" x14ac:dyDescent="0.25">
      <c r="A21" s="226" t="s">
        <v>153</v>
      </c>
      <c r="B21" s="691">
        <f>'AR - Market 1'!B21+'AR - Market 2'!B21</f>
        <v>204278.89000000004</v>
      </c>
      <c r="C21" s="221">
        <f t="shared" si="5"/>
        <v>5.0821015124394402E-2</v>
      </c>
      <c r="D21" s="691">
        <f>'AR - Market 1'!D21+'AR - Market 2'!D21</f>
        <v>444641.34999999986</v>
      </c>
      <c r="E21" s="221">
        <f t="shared" si="6"/>
        <v>0.33454258050739671</v>
      </c>
      <c r="F21" s="691">
        <f>'AR - Market 1'!F21+'AR - Market 2'!F21</f>
        <v>-65827.180000000008</v>
      </c>
      <c r="G21" s="691">
        <f t="shared" si="4"/>
        <v>648920.23999999987</v>
      </c>
      <c r="H21" s="224">
        <f t="shared" si="7"/>
        <v>0.12132349192998747</v>
      </c>
    </row>
    <row r="22" spans="1:68" ht="13.5" thickBot="1" x14ac:dyDescent="0.25">
      <c r="A22" s="232" t="s">
        <v>24</v>
      </c>
      <c r="B22" s="692">
        <f>SUM(B15:B21)</f>
        <v>4019575.1599999997</v>
      </c>
      <c r="C22" s="235">
        <f t="shared" si="5"/>
        <v>1</v>
      </c>
      <c r="D22" s="692">
        <f>SUM(D15:D21)</f>
        <v>1329102.4099999997</v>
      </c>
      <c r="E22" s="235">
        <f t="shared" si="6"/>
        <v>1</v>
      </c>
      <c r="F22" s="692">
        <f>SUM(F15:F21)</f>
        <v>-179639.7</v>
      </c>
      <c r="G22" s="692">
        <f>SUM(G15:G21)</f>
        <v>5348677.5699999994</v>
      </c>
      <c r="H22" s="235">
        <f t="shared" si="7"/>
        <v>1</v>
      </c>
      <c r="BP22">
        <v>2105614.8973325035</v>
      </c>
    </row>
    <row r="23" spans="1:68" x14ac:dyDescent="0.2">
      <c r="BP23">
        <v>101118.09985459411</v>
      </c>
    </row>
    <row r="24" spans="1:68" x14ac:dyDescent="0.2">
      <c r="BP24">
        <v>28878</v>
      </c>
    </row>
    <row r="25" spans="1:68" ht="13.5" thickBot="1" x14ac:dyDescent="0.25">
      <c r="A25" s="677" t="s">
        <v>323</v>
      </c>
      <c r="B25" s="678"/>
      <c r="C25" s="679"/>
      <c r="D25" s="680"/>
      <c r="E25" s="680"/>
      <c r="F25" s="680"/>
      <c r="G25" s="680"/>
      <c r="H25" s="680"/>
    </row>
    <row r="26" spans="1:68" x14ac:dyDescent="0.2">
      <c r="A26" s="216" t="s">
        <v>19</v>
      </c>
      <c r="B26" s="689" t="s">
        <v>20</v>
      </c>
      <c r="C26" s="671" t="s">
        <v>21</v>
      </c>
      <c r="D26" s="672" t="s">
        <v>22</v>
      </c>
      <c r="E26" s="672" t="s">
        <v>21</v>
      </c>
      <c r="F26" s="672" t="s">
        <v>23</v>
      </c>
      <c r="G26" s="672" t="s">
        <v>24</v>
      </c>
      <c r="H26" s="672" t="s">
        <v>21</v>
      </c>
    </row>
    <row r="27" spans="1:68" x14ac:dyDescent="0.2">
      <c r="A27" s="217" t="s">
        <v>25</v>
      </c>
      <c r="B27" s="690">
        <v>3027278.7299999995</v>
      </c>
      <c r="C27" s="221">
        <f>B27/$B$34</f>
        <v>0.69985227102004643</v>
      </c>
      <c r="D27" s="690">
        <v>134566.32000000007</v>
      </c>
      <c r="E27" s="221">
        <f>D27/$D$34</f>
        <v>0.10399617284854541</v>
      </c>
      <c r="F27" s="690">
        <v>-11168.740000000002</v>
      </c>
      <c r="G27" s="690">
        <f t="shared" ref="G27:G33" si="8">B27+D27</f>
        <v>3161845.05</v>
      </c>
      <c r="H27" s="224">
        <f>G27/$G$34</f>
        <v>0.56265080074044049</v>
      </c>
    </row>
    <row r="28" spans="1:68" x14ac:dyDescent="0.2">
      <c r="A28" s="217" t="s">
        <v>26</v>
      </c>
      <c r="B28" s="690">
        <v>526466.71</v>
      </c>
      <c r="C28" s="221">
        <f t="shared" ref="C28:C33" si="9">B28/$B$34</f>
        <v>0.12170961297969157</v>
      </c>
      <c r="D28" s="690">
        <v>264853.40999999997</v>
      </c>
      <c r="E28" s="221">
        <f t="shared" ref="E28:E33" si="10">D28/$D$34</f>
        <v>0.20468525115264094</v>
      </c>
      <c r="F28" s="690">
        <v>-4638.8</v>
      </c>
      <c r="G28" s="690">
        <f t="shared" si="8"/>
        <v>791320.11999999988</v>
      </c>
      <c r="H28" s="224">
        <f t="shared" ref="H28:H33" si="11">G28/$G$34</f>
        <v>0.14081553400601382</v>
      </c>
      <c r="BP28">
        <v>5974908.2901375443</v>
      </c>
    </row>
    <row r="29" spans="1:68" x14ac:dyDescent="0.2">
      <c r="A29" s="217" t="s">
        <v>27</v>
      </c>
      <c r="B29" s="690">
        <v>234496.69</v>
      </c>
      <c r="C29" s="221">
        <f t="shared" si="9"/>
        <v>5.4211407564437861E-2</v>
      </c>
      <c r="D29" s="690">
        <v>129247.47999999998</v>
      </c>
      <c r="E29" s="221">
        <f t="shared" si="10"/>
        <v>9.9885642041180195E-2</v>
      </c>
      <c r="F29" s="690">
        <v>-6908.34</v>
      </c>
      <c r="G29" s="690">
        <f t="shared" si="8"/>
        <v>363744.17</v>
      </c>
      <c r="H29" s="224">
        <f t="shared" si="11"/>
        <v>6.4728329591978884E-2</v>
      </c>
      <c r="BP29">
        <v>377275.78999996191</v>
      </c>
    </row>
    <row r="30" spans="1:68" x14ac:dyDescent="0.2">
      <c r="A30" s="217" t="s">
        <v>28</v>
      </c>
      <c r="B30" s="690">
        <v>151072.50999999998</v>
      </c>
      <c r="C30" s="221">
        <f t="shared" si="9"/>
        <v>3.492524099761328E-2</v>
      </c>
      <c r="D30" s="690">
        <v>102150.97000000002</v>
      </c>
      <c r="E30" s="221">
        <f t="shared" si="10"/>
        <v>7.8944790440628632E-2</v>
      </c>
      <c r="F30" s="690">
        <v>-6661.82</v>
      </c>
      <c r="G30" s="690">
        <f t="shared" si="8"/>
        <v>253223.47999999998</v>
      </c>
      <c r="H30" s="224">
        <f t="shared" si="11"/>
        <v>4.5061156234800608E-2</v>
      </c>
      <c r="BP30">
        <v>1723859.1027311464</v>
      </c>
    </row>
    <row r="31" spans="1:68" x14ac:dyDescent="0.2">
      <c r="A31" s="217" t="s">
        <v>151</v>
      </c>
      <c r="B31" s="690">
        <v>103837.35999999999</v>
      </c>
      <c r="C31" s="221">
        <f t="shared" si="9"/>
        <v>2.4005325803853589E-2</v>
      </c>
      <c r="D31" s="690">
        <v>103458.34000000003</v>
      </c>
      <c r="E31" s="221">
        <f t="shared" si="10"/>
        <v>7.9955158239175872E-2</v>
      </c>
      <c r="F31" s="690">
        <v>-6123</v>
      </c>
      <c r="G31" s="690">
        <f t="shared" si="8"/>
        <v>207295.7</v>
      </c>
      <c r="H31" s="224">
        <f t="shared" si="11"/>
        <v>3.6888300897303668E-2</v>
      </c>
      <c r="BP31">
        <v>1886936.4053251962</v>
      </c>
    </row>
    <row r="32" spans="1:68" x14ac:dyDescent="0.2">
      <c r="A32" s="217" t="s">
        <v>152</v>
      </c>
      <c r="B32" s="690">
        <v>77741.649999999994</v>
      </c>
      <c r="C32" s="221">
        <f t="shared" si="9"/>
        <v>1.797246806716922E-2</v>
      </c>
      <c r="D32" s="690">
        <v>97742.99000000002</v>
      </c>
      <c r="E32" s="221">
        <f t="shared" si="10"/>
        <v>7.5538194718958229E-2</v>
      </c>
      <c r="F32" s="690">
        <v>-19776.199999999997</v>
      </c>
      <c r="G32" s="690">
        <f t="shared" si="8"/>
        <v>175484.64</v>
      </c>
      <c r="H32" s="224">
        <f t="shared" si="11"/>
        <v>3.1227518000494035E-2</v>
      </c>
      <c r="BP32">
        <v>272134.43085956585</v>
      </c>
    </row>
    <row r="33" spans="1:68" ht="13.5" thickBot="1" x14ac:dyDescent="0.25">
      <c r="A33" s="226" t="s">
        <v>153</v>
      </c>
      <c r="B33" s="691">
        <v>204703.13000000003</v>
      </c>
      <c r="C33" s="221">
        <f t="shared" si="9"/>
        <v>4.7323673567188126E-2</v>
      </c>
      <c r="D33" s="691">
        <v>461935.02999999997</v>
      </c>
      <c r="E33" s="221">
        <f t="shared" si="10"/>
        <v>0.35699479055887073</v>
      </c>
      <c r="F33" s="691">
        <v>-169801.24</v>
      </c>
      <c r="G33" s="691">
        <f t="shared" si="8"/>
        <v>666638.16</v>
      </c>
      <c r="H33" s="224">
        <f t="shared" si="11"/>
        <v>0.11862836052896836</v>
      </c>
    </row>
    <row r="34" spans="1:68" ht="13.5" thickBot="1" x14ac:dyDescent="0.25">
      <c r="A34" s="232" t="s">
        <v>24</v>
      </c>
      <c r="B34" s="692">
        <f>SUM(B27:B33)</f>
        <v>4325596.7799999993</v>
      </c>
      <c r="C34" s="235">
        <f>B34/$B$34</f>
        <v>1</v>
      </c>
      <c r="D34" s="692">
        <f>SUM(D27:D33)</f>
        <v>1293954.54</v>
      </c>
      <c r="E34" s="235">
        <f>D34/$D$34</f>
        <v>1</v>
      </c>
      <c r="F34" s="692">
        <f>SUM(F27:F33)</f>
        <v>-225078.13999999998</v>
      </c>
      <c r="G34" s="692">
        <f>SUM(G27:G33)</f>
        <v>5619551.3200000003</v>
      </c>
      <c r="H34" s="235">
        <f>G34/$G$34</f>
        <v>1</v>
      </c>
      <c r="BP34">
        <v>2105614.8973325035</v>
      </c>
    </row>
    <row r="35" spans="1:68" x14ac:dyDescent="0.2">
      <c r="BP35">
        <v>101118.09985459411</v>
      </c>
    </row>
    <row r="36" spans="1:68" x14ac:dyDescent="0.2">
      <c r="BP36">
        <v>28878</v>
      </c>
    </row>
    <row r="37" spans="1:68" ht="13.5" thickBot="1" x14ac:dyDescent="0.25">
      <c r="A37" s="677" t="s">
        <v>321</v>
      </c>
      <c r="B37" s="678"/>
      <c r="C37" s="679"/>
      <c r="D37" s="680"/>
      <c r="E37" s="680"/>
      <c r="F37" s="680"/>
      <c r="G37" s="680"/>
      <c r="H37" s="680"/>
    </row>
    <row r="38" spans="1:68" x14ac:dyDescent="0.2">
      <c r="A38" s="216" t="s">
        <v>19</v>
      </c>
      <c r="B38" s="689" t="s">
        <v>20</v>
      </c>
      <c r="C38" s="671" t="s">
        <v>21</v>
      </c>
      <c r="D38" s="672" t="s">
        <v>22</v>
      </c>
      <c r="E38" s="672" t="s">
        <v>21</v>
      </c>
      <c r="F38" s="672" t="s">
        <v>23</v>
      </c>
      <c r="G38" s="672" t="s">
        <v>24</v>
      </c>
      <c r="H38" s="672" t="s">
        <v>21</v>
      </c>
    </row>
    <row r="39" spans="1:68" x14ac:dyDescent="0.2">
      <c r="A39" s="217" t="s">
        <v>25</v>
      </c>
      <c r="B39" s="690">
        <f>'AR - Market 1'!B39+'AR - Market 2'!B39</f>
        <v>2942002.9400000004</v>
      </c>
      <c r="C39" s="221">
        <f>B39/$B$46</f>
        <v>0.68612662081451703</v>
      </c>
      <c r="D39" s="690">
        <f>'AR - Market 1'!D39+'AR - Market 2'!D39</f>
        <v>120675.9</v>
      </c>
      <c r="E39" s="221">
        <f>D39/$D$46</f>
        <v>9.7987341615818555E-2</v>
      </c>
      <c r="F39" s="690">
        <f>'AR - Market 1'!F39+'AR - Market 2'!F39</f>
        <v>-20664.539999999997</v>
      </c>
      <c r="G39" s="690">
        <f t="shared" ref="G39:G45" si="12">B39+D39</f>
        <v>3062678.8400000003</v>
      </c>
      <c r="H39" s="224">
        <f>G39/$G$46</f>
        <v>0.55489460490748321</v>
      </c>
      <c r="J39" s="339">
        <v>0.93392442269193809</v>
      </c>
    </row>
    <row r="40" spans="1:68" x14ac:dyDescent="0.2">
      <c r="A40" s="217" t="s">
        <v>26</v>
      </c>
      <c r="B40" s="690">
        <f>'AR - Market 1'!B40+'AR - Market 2'!B40</f>
        <v>515325.55000000005</v>
      </c>
      <c r="C40" s="221">
        <f t="shared" ref="C40:C45" si="13">B40/$B$46</f>
        <v>0.12018294524236009</v>
      </c>
      <c r="D40" s="690">
        <f>'AR - Market 1'!D40+'AR - Market 2'!D40</f>
        <v>168452.04000000004</v>
      </c>
      <c r="E40" s="221">
        <f t="shared" ref="E40:E45" si="14">D40/$D$46</f>
        <v>0.13678097772099926</v>
      </c>
      <c r="F40" s="690">
        <f>'AR - Market 1'!F40+'AR - Market 2'!F40</f>
        <v>-7389.75</v>
      </c>
      <c r="G40" s="690">
        <f t="shared" si="12"/>
        <v>683777.59000000008</v>
      </c>
      <c r="H40" s="224">
        <f t="shared" ref="H40:H45" si="15">G40/$G$46</f>
        <v>0.12388647829873049</v>
      </c>
      <c r="J40" s="339">
        <v>0.33290842597529396</v>
      </c>
      <c r="BP40">
        <v>5974908.2901375443</v>
      </c>
    </row>
    <row r="41" spans="1:68" x14ac:dyDescent="0.2">
      <c r="A41" s="217" t="s">
        <v>27</v>
      </c>
      <c r="B41" s="690">
        <f>'AR - Market 1'!B41+'AR - Market 2'!B41</f>
        <v>255978.29</v>
      </c>
      <c r="C41" s="221">
        <f t="shared" si="13"/>
        <v>5.9698621211975555E-2</v>
      </c>
      <c r="D41" s="690">
        <f>'AR - Market 1'!D41+'AR - Market 2'!D41</f>
        <v>136420.39000000001</v>
      </c>
      <c r="E41" s="221">
        <f t="shared" si="14"/>
        <v>0.11077167320312671</v>
      </c>
      <c r="F41" s="690">
        <f>'AR - Market 1'!F41+'AR - Market 2'!F41</f>
        <v>-7499.0600000000013</v>
      </c>
      <c r="G41" s="690">
        <f t="shared" si="12"/>
        <v>392398.68000000005</v>
      </c>
      <c r="H41" s="224">
        <f t="shared" si="15"/>
        <v>7.1094594595108751E-2</v>
      </c>
      <c r="J41" s="339">
        <v>0.17177791304302514</v>
      </c>
      <c r="BP41">
        <v>377275.78999996191</v>
      </c>
    </row>
    <row r="42" spans="1:68" x14ac:dyDescent="0.2">
      <c r="A42" s="217" t="s">
        <v>28</v>
      </c>
      <c r="B42" s="690">
        <f>'AR - Market 1'!B42+'AR - Market 2'!B42</f>
        <v>171584.08999999997</v>
      </c>
      <c r="C42" s="221">
        <f t="shared" si="13"/>
        <v>4.001641543472894E-2</v>
      </c>
      <c r="D42" s="690">
        <f>'AR - Market 1'!D42+'AR - Market 2'!D42</f>
        <v>118635.33000000005</v>
      </c>
      <c r="E42" s="221">
        <f t="shared" si="14"/>
        <v>9.6330423957189229E-2</v>
      </c>
      <c r="F42" s="690">
        <f>'AR - Market 1'!F42+'AR - Market 2'!F42</f>
        <v>-9633.18</v>
      </c>
      <c r="G42" s="690">
        <f t="shared" si="12"/>
        <v>290219.42000000004</v>
      </c>
      <c r="H42" s="224">
        <f t="shared" si="15"/>
        <v>5.2581807891218184E-2</v>
      </c>
      <c r="J42" s="339">
        <v>8.9145967057564252E-2</v>
      </c>
      <c r="BP42">
        <v>1723859.1027311464</v>
      </c>
    </row>
    <row r="43" spans="1:68" x14ac:dyDescent="0.2">
      <c r="A43" s="217" t="s">
        <v>151</v>
      </c>
      <c r="B43" s="690">
        <f>'AR - Market 1'!B43+'AR - Market 2'!B43</f>
        <v>104439.78</v>
      </c>
      <c r="C43" s="221">
        <f t="shared" si="13"/>
        <v>2.4357186172632297E-2</v>
      </c>
      <c r="D43" s="690">
        <f>'AR - Market 1'!D43+'AR - Market 2'!D43</f>
        <v>111276.90000000001</v>
      </c>
      <c r="E43" s="221">
        <f t="shared" si="14"/>
        <v>9.0355469602872496E-2</v>
      </c>
      <c r="F43" s="690">
        <f>'AR - Market 1'!F43+'AR - Market 2'!F43</f>
        <v>-23302.570000000003</v>
      </c>
      <c r="G43" s="690">
        <f t="shared" si="12"/>
        <v>215716.68</v>
      </c>
      <c r="H43" s="224">
        <f t="shared" si="15"/>
        <v>3.9083439098222254E-2</v>
      </c>
      <c r="J43" s="339">
        <v>6.0132685033882173E-2</v>
      </c>
      <c r="BP43">
        <v>1886936.4053251962</v>
      </c>
    </row>
    <row r="44" spans="1:68" x14ac:dyDescent="0.2">
      <c r="A44" s="217" t="s">
        <v>152</v>
      </c>
      <c r="B44" s="690">
        <f>'AR - Market 1'!B44+'AR - Market 2'!B44</f>
        <v>85521.549999999988</v>
      </c>
      <c r="C44" s="221">
        <f t="shared" si="13"/>
        <v>1.9945123545090593E-2</v>
      </c>
      <c r="D44" s="690">
        <f>'AR - Market 1'!D44+'AR - Market 2'!D44</f>
        <v>76343.259999999995</v>
      </c>
      <c r="E44" s="221">
        <f t="shared" si="14"/>
        <v>6.1989785016604439E-2</v>
      </c>
      <c r="F44" s="690">
        <f>'AR - Market 1'!F44+'AR - Market 2'!F44</f>
        <v>-17935.03</v>
      </c>
      <c r="G44" s="690">
        <f t="shared" si="12"/>
        <v>161864.81</v>
      </c>
      <c r="H44" s="224">
        <f t="shared" si="15"/>
        <v>2.9326584498613258E-2</v>
      </c>
      <c r="J44" s="339">
        <v>5.0129319843451668E-2</v>
      </c>
      <c r="BP44">
        <v>272134.43085956585</v>
      </c>
    </row>
    <row r="45" spans="1:68" ht="13.5" thickBot="1" x14ac:dyDescent="0.25">
      <c r="A45" s="226" t="s">
        <v>153</v>
      </c>
      <c r="B45" s="690">
        <f>'AR - Market 1'!B45+'AR - Market 2'!B45</f>
        <v>212990.38000000003</v>
      </c>
      <c r="C45" s="221">
        <f t="shared" si="13"/>
        <v>4.9673087578695582E-2</v>
      </c>
      <c r="D45" s="690">
        <f>'AR - Market 1'!D45+'AR - Market 2'!D45</f>
        <v>499741.99000000011</v>
      </c>
      <c r="E45" s="221">
        <f t="shared" si="14"/>
        <v>0.40578432888338922</v>
      </c>
      <c r="F45" s="690">
        <f>'AR - Market 1'!F45+'AR - Market 2'!F45</f>
        <v>-210273.07999999996</v>
      </c>
      <c r="G45" s="691">
        <f t="shared" si="12"/>
        <v>712732.37000000011</v>
      </c>
      <c r="H45" s="224">
        <f t="shared" si="15"/>
        <v>0.12913249071062383</v>
      </c>
      <c r="J45" s="339">
        <v>0.36198126635484473</v>
      </c>
    </row>
    <row r="46" spans="1:68" ht="13.5" thickBot="1" x14ac:dyDescent="0.25">
      <c r="A46" s="232" t="s">
        <v>24</v>
      </c>
      <c r="B46" s="692">
        <f>SUM(B39:B45)</f>
        <v>4287842.58</v>
      </c>
      <c r="C46" s="235">
        <f>B46/$B$46</f>
        <v>1</v>
      </c>
      <c r="D46" s="692">
        <f>SUM(D39:D45)</f>
        <v>1231545.8100000003</v>
      </c>
      <c r="E46" s="235">
        <f>D46/$D$46</f>
        <v>1</v>
      </c>
      <c r="F46" s="692">
        <f>SUM(F39:F45)</f>
        <v>-296697.20999999996</v>
      </c>
      <c r="G46" s="692">
        <f>SUM(G39:G45)</f>
        <v>5519388.3900000006</v>
      </c>
      <c r="H46" s="235">
        <f>G46/$G$46</f>
        <v>1</v>
      </c>
      <c r="J46" s="339">
        <v>2</v>
      </c>
      <c r="BP46">
        <v>2105614.8973325035</v>
      </c>
    </row>
    <row r="47" spans="1:68" x14ac:dyDescent="0.2">
      <c r="BP47">
        <v>101118.09985459411</v>
      </c>
    </row>
    <row r="48" spans="1:68" x14ac:dyDescent="0.2">
      <c r="BP48">
        <v>28878</v>
      </c>
    </row>
    <row r="49" spans="1:68" ht="13.5" thickBot="1" x14ac:dyDescent="0.25">
      <c r="A49" s="677" t="s">
        <v>320</v>
      </c>
      <c r="B49" s="678"/>
      <c r="C49" s="679"/>
      <c r="D49" s="680"/>
      <c r="E49" s="680"/>
      <c r="F49" s="680"/>
      <c r="G49" s="680"/>
      <c r="H49" s="680"/>
    </row>
    <row r="50" spans="1:68" x14ac:dyDescent="0.2">
      <c r="A50" s="216" t="s">
        <v>19</v>
      </c>
      <c r="B50" s="689" t="s">
        <v>20</v>
      </c>
      <c r="C50" s="671" t="s">
        <v>21</v>
      </c>
      <c r="D50" s="672" t="s">
        <v>22</v>
      </c>
      <c r="E50" s="672" t="s">
        <v>21</v>
      </c>
      <c r="F50" s="672" t="s">
        <v>23</v>
      </c>
      <c r="G50" s="672" t="s">
        <v>24</v>
      </c>
      <c r="H50" s="672" t="s">
        <v>21</v>
      </c>
    </row>
    <row r="51" spans="1:68" x14ac:dyDescent="0.2">
      <c r="A51" s="217" t="s">
        <v>25</v>
      </c>
      <c r="B51" s="690">
        <f>'AR - Market 1'!B51+'AR - Market 2'!B51</f>
        <v>2809962.0500000003</v>
      </c>
      <c r="C51" s="221">
        <f>B51/$B$58</f>
        <v>0.68800595410842336</v>
      </c>
      <c r="D51" s="690">
        <f>'AR - Market 1'!D51+'AR - Market 2'!D51</f>
        <v>33343.590000000004</v>
      </c>
      <c r="E51" s="221">
        <f>D51/$D$58</f>
        <v>2.7778537981340386E-2</v>
      </c>
      <c r="F51" s="690">
        <f>'AR - Market 1'!F51+'AR - Market 2'!F51</f>
        <v>-15876.919999999998</v>
      </c>
      <c r="G51" s="690">
        <f t="shared" ref="G51:G57" si="16">B51+D51</f>
        <v>2843305.64</v>
      </c>
      <c r="H51" s="224">
        <f>G51/$G$58</f>
        <v>0.53804138537701029</v>
      </c>
      <c r="J51" s="339">
        <v>0.93392442269193809</v>
      </c>
    </row>
    <row r="52" spans="1:68" x14ac:dyDescent="0.2">
      <c r="A52" s="217" t="s">
        <v>26</v>
      </c>
      <c r="B52" s="690">
        <f>'AR - Market 1'!B52+'AR - Market 2'!B52</f>
        <v>558675.07000000007</v>
      </c>
      <c r="C52" s="221">
        <f t="shared" ref="C52:C58" si="17">B52/$B$58</f>
        <v>0.13678895576968386</v>
      </c>
      <c r="D52" s="690">
        <f>'AR - Market 1'!D52+'AR - Market 2'!D52</f>
        <v>145610.46</v>
      </c>
      <c r="E52" s="221">
        <f t="shared" ref="E52:E58" si="18">D52/$D$58</f>
        <v>0.1213080443224753</v>
      </c>
      <c r="F52" s="690">
        <f>'AR - Market 1'!F52+'AR - Market 2'!F52</f>
        <v>-6929.170000000001</v>
      </c>
      <c r="G52" s="690">
        <f t="shared" si="16"/>
        <v>704285.53</v>
      </c>
      <c r="H52" s="224">
        <f t="shared" ref="H52:H58" si="19">G52/$G$58</f>
        <v>0.1332726095046827</v>
      </c>
      <c r="J52" s="339">
        <v>0.33290842597529396</v>
      </c>
      <c r="BP52">
        <v>5974908.2901375443</v>
      </c>
    </row>
    <row r="53" spans="1:68" x14ac:dyDescent="0.2">
      <c r="A53" s="217" t="s">
        <v>27</v>
      </c>
      <c r="B53" s="690">
        <f>'AR - Market 1'!B53+'AR - Market 2'!B53</f>
        <v>265180.16000000003</v>
      </c>
      <c r="C53" s="221">
        <f t="shared" si="17"/>
        <v>6.492811139261627E-2</v>
      </c>
      <c r="D53" s="690">
        <f>'AR - Market 1'!D53+'AR - Market 2'!D53</f>
        <v>146884.75</v>
      </c>
      <c r="E53" s="221">
        <f t="shared" si="18"/>
        <v>0.12236965505977872</v>
      </c>
      <c r="F53" s="690">
        <f>'AR - Market 1'!F53+'AR - Market 2'!F53</f>
        <v>-9967.27</v>
      </c>
      <c r="G53" s="690">
        <f t="shared" si="16"/>
        <v>412064.91000000003</v>
      </c>
      <c r="H53" s="224">
        <f t="shared" si="19"/>
        <v>7.7975428291153767E-2</v>
      </c>
      <c r="J53" s="339">
        <v>0.17177791304302514</v>
      </c>
      <c r="BP53">
        <v>377275.78999996191</v>
      </c>
    </row>
    <row r="54" spans="1:68" x14ac:dyDescent="0.2">
      <c r="A54" s="217" t="s">
        <v>28</v>
      </c>
      <c r="B54" s="690">
        <f>'AR - Market 1'!B54+'AR - Market 2'!B54</f>
        <v>147479.64000000001</v>
      </c>
      <c r="C54" s="221">
        <f t="shared" si="17"/>
        <v>3.6109694232264379E-2</v>
      </c>
      <c r="D54" s="690">
        <f>'AR - Market 1'!D54+'AR - Market 2'!D54</f>
        <v>129756.34</v>
      </c>
      <c r="E54" s="221">
        <f t="shared" si="18"/>
        <v>0.10809998020638198</v>
      </c>
      <c r="F54" s="690">
        <f>'AR - Market 1'!F54+'AR - Market 2'!F54</f>
        <v>-29506.210000000006</v>
      </c>
      <c r="G54" s="690">
        <f t="shared" si="16"/>
        <v>277235.98</v>
      </c>
      <c r="H54" s="224">
        <f t="shared" si="19"/>
        <v>5.2461623772375413E-2</v>
      </c>
      <c r="J54" s="339">
        <v>8.9145967057564252E-2</v>
      </c>
      <c r="BP54">
        <v>1723859.1027311464</v>
      </c>
    </row>
    <row r="55" spans="1:68" x14ac:dyDescent="0.2">
      <c r="A55" s="217" t="s">
        <v>151</v>
      </c>
      <c r="B55" s="690">
        <f>'AR - Market 1'!B55+'AR - Market 2'!B55</f>
        <v>99049.299999999988</v>
      </c>
      <c r="C55" s="221">
        <f t="shared" si="17"/>
        <v>2.4251753916132584E-2</v>
      </c>
      <c r="D55" s="690">
        <f>'AR - Market 1'!D55+'AR - Market 2'!D55</f>
        <v>80434.98</v>
      </c>
      <c r="E55" s="221">
        <f t="shared" si="18"/>
        <v>6.7010365319341861E-2</v>
      </c>
      <c r="F55" s="690">
        <f>'AR - Market 1'!F55+'AR - Market 2'!F55</f>
        <v>-21027.360000000001</v>
      </c>
      <c r="G55" s="690">
        <f t="shared" si="16"/>
        <v>179484.27999999997</v>
      </c>
      <c r="H55" s="224">
        <f t="shared" si="19"/>
        <v>3.396397816190988E-2</v>
      </c>
      <c r="J55" s="339">
        <v>6.0132685033882173E-2</v>
      </c>
      <c r="BP55">
        <v>1886936.4053251962</v>
      </c>
    </row>
    <row r="56" spans="1:68" x14ac:dyDescent="0.2">
      <c r="A56" s="217" t="s">
        <v>152</v>
      </c>
      <c r="B56" s="690">
        <f>'AR - Market 1'!B56+'AR - Market 2'!B56</f>
        <v>48705.520000000004</v>
      </c>
      <c r="C56" s="221">
        <f t="shared" si="17"/>
        <v>1.1925316841181857E-2</v>
      </c>
      <c r="D56" s="690">
        <f>'AR - Market 1'!D56+'AR - Market 2'!D56</f>
        <v>65490.89</v>
      </c>
      <c r="E56" s="221">
        <f t="shared" si="18"/>
        <v>5.4560447009358776E-2</v>
      </c>
      <c r="F56" s="690">
        <f>'AR - Market 1'!F56+'AR - Market 2'!F56</f>
        <v>-53351.789999999994</v>
      </c>
      <c r="G56" s="690">
        <f t="shared" si="16"/>
        <v>114196.41</v>
      </c>
      <c r="H56" s="224">
        <f t="shared" si="19"/>
        <v>2.1609493463207518E-2</v>
      </c>
      <c r="J56" s="339">
        <v>5.0129319843451668E-2</v>
      </c>
      <c r="BP56">
        <v>272134.43085956585</v>
      </c>
    </row>
    <row r="57" spans="1:68" ht="13.5" thickBot="1" x14ac:dyDescent="0.25">
      <c r="A57" s="226" t="s">
        <v>153</v>
      </c>
      <c r="B57" s="690">
        <f>'AR - Market 1'!B57+'AR - Market 2'!B57</f>
        <v>155160.08000000002</v>
      </c>
      <c r="C57" s="221">
        <f t="shared" si="17"/>
        <v>3.7990213739697763E-2</v>
      </c>
      <c r="D57" s="690">
        <f>'AR - Market 1'!D57+'AR - Market 2'!D57</f>
        <v>598815.37999999989</v>
      </c>
      <c r="E57" s="221">
        <f t="shared" si="18"/>
        <v>0.49887297010132298</v>
      </c>
      <c r="F57" s="690">
        <f>'AR - Market 1'!F57+'AR - Market 2'!F57</f>
        <v>-213167.78000000003</v>
      </c>
      <c r="G57" s="691">
        <f t="shared" si="16"/>
        <v>753975.46</v>
      </c>
      <c r="H57" s="224">
        <f t="shared" si="19"/>
        <v>0.14267548142966036</v>
      </c>
      <c r="J57" s="339">
        <v>0.36198126635484473</v>
      </c>
    </row>
    <row r="58" spans="1:68" ht="13.5" thickBot="1" x14ac:dyDescent="0.25">
      <c r="A58" s="232" t="s">
        <v>24</v>
      </c>
      <c r="B58" s="692">
        <f>SUM(B51:B57)</f>
        <v>4084211.8200000003</v>
      </c>
      <c r="C58" s="235">
        <f t="shared" si="17"/>
        <v>1</v>
      </c>
      <c r="D58" s="692">
        <f>SUM(D51:D57)</f>
        <v>1200336.3899999999</v>
      </c>
      <c r="E58" s="235">
        <f t="shared" si="18"/>
        <v>1</v>
      </c>
      <c r="F58" s="692">
        <f>SUM(F51:F57)</f>
        <v>-349826.5</v>
      </c>
      <c r="G58" s="692">
        <f>SUM(G51:G57)</f>
        <v>5284548.2100000009</v>
      </c>
      <c r="H58" s="235">
        <f t="shared" si="19"/>
        <v>1</v>
      </c>
      <c r="J58" s="339">
        <v>2</v>
      </c>
      <c r="BP58">
        <v>2105614.8973325035</v>
      </c>
    </row>
    <row r="59" spans="1:68" x14ac:dyDescent="0.2">
      <c r="BP59">
        <v>101118.09985459411</v>
      </c>
    </row>
    <row r="60" spans="1:68" x14ac:dyDescent="0.2">
      <c r="BP60">
        <v>28878</v>
      </c>
    </row>
    <row r="61" spans="1:68" ht="13.5" thickBot="1" x14ac:dyDescent="0.25">
      <c r="A61" s="677" t="s">
        <v>308</v>
      </c>
      <c r="B61" s="678"/>
      <c r="C61" s="679"/>
      <c r="D61" s="680"/>
      <c r="E61" s="680"/>
      <c r="F61" s="680"/>
      <c r="G61" s="680"/>
      <c r="H61" s="680"/>
    </row>
    <row r="62" spans="1:68" x14ac:dyDescent="0.2">
      <c r="A62" s="216" t="s">
        <v>19</v>
      </c>
      <c r="B62" s="689" t="s">
        <v>20</v>
      </c>
      <c r="C62" s="671" t="s">
        <v>21</v>
      </c>
      <c r="D62" s="672" t="s">
        <v>22</v>
      </c>
      <c r="E62" s="672" t="s">
        <v>21</v>
      </c>
      <c r="F62" s="672" t="s">
        <v>23</v>
      </c>
      <c r="G62" s="672" t="s">
        <v>24</v>
      </c>
      <c r="H62" s="672" t="s">
        <v>21</v>
      </c>
    </row>
    <row r="63" spans="1:68" x14ac:dyDescent="0.2">
      <c r="A63" s="217" t="s">
        <v>25</v>
      </c>
      <c r="B63" s="690">
        <f>'AR - Market 1'!B63+'AR - Market 2'!B63</f>
        <v>2811918.66</v>
      </c>
      <c r="C63" s="221">
        <f>B63/$B$70</f>
        <v>0.64050609226040556</v>
      </c>
      <c r="D63" s="690">
        <f>'AR - Market 1'!D63+'AR - Market 2'!D63</f>
        <v>109699.27</v>
      </c>
      <c r="E63" s="224">
        <f>D63/$D$70</f>
        <v>7.9660589602809306E-2</v>
      </c>
      <c r="F63" s="690">
        <f>'AR - Market 1'!F63+'AR - Market 2'!F63</f>
        <v>-9261.9700000000012</v>
      </c>
      <c r="G63" s="690">
        <f>'AR - Market 1'!G63+'AR - Market 2'!G63</f>
        <v>2921617.9299999997</v>
      </c>
      <c r="H63" s="224">
        <f>G63/$G$70</f>
        <v>0.50658905218394223</v>
      </c>
      <c r="J63" s="339">
        <v>0.93392442269193809</v>
      </c>
    </row>
    <row r="64" spans="1:68" x14ac:dyDescent="0.2">
      <c r="A64" s="217" t="s">
        <v>26</v>
      </c>
      <c r="B64" s="690">
        <f>'AR - Market 1'!B64+'AR - Market 2'!B64</f>
        <v>625157.75</v>
      </c>
      <c r="C64" s="221">
        <f t="shared" ref="C64:C70" si="20">B64/$B$70</f>
        <v>0.14240004634373299</v>
      </c>
      <c r="D64" s="690">
        <f>'AR - Market 1'!D64+'AR - Market 2'!D64</f>
        <v>203849.36</v>
      </c>
      <c r="E64" s="224">
        <f t="shared" ref="E64:E70" si="21">D64/$D$70</f>
        <v>0.14802979279402068</v>
      </c>
      <c r="F64" s="690">
        <f>'AR - Market 1'!F64+'AR - Market 2'!F64</f>
        <v>-6704.17</v>
      </c>
      <c r="G64" s="690">
        <f>'AR - Market 1'!G64+'AR - Market 2'!G64</f>
        <v>829007.1100000001</v>
      </c>
      <c r="H64" s="224">
        <f t="shared" ref="H64:H70" si="22">G64/$G$70</f>
        <v>0.14374430064804855</v>
      </c>
      <c r="J64" s="339">
        <v>0.33290842597529396</v>
      </c>
    </row>
    <row r="65" spans="1:10" x14ac:dyDescent="0.2">
      <c r="A65" s="217" t="s">
        <v>27</v>
      </c>
      <c r="B65" s="690">
        <f>'AR - Market 1'!B65+'AR - Market 2'!B65</f>
        <v>269106.18</v>
      </c>
      <c r="C65" s="221">
        <f t="shared" si="20"/>
        <v>6.1297700465818346E-2</v>
      </c>
      <c r="D65" s="690">
        <f>'AR - Market 1'!D65+'AR - Market 2'!D65</f>
        <v>163021.09000000003</v>
      </c>
      <c r="E65" s="224">
        <f t="shared" si="21"/>
        <v>0.11838142721544676</v>
      </c>
      <c r="F65" s="690">
        <f>'AR - Market 1'!F65+'AR - Market 2'!F65</f>
        <v>-36875</v>
      </c>
      <c r="G65" s="690">
        <f>'AR - Market 1'!G65+'AR - Market 2'!G65</f>
        <v>432127.26999999996</v>
      </c>
      <c r="H65" s="224">
        <f t="shared" si="22"/>
        <v>7.4927984896414737E-2</v>
      </c>
      <c r="J65" s="339">
        <v>0.17177791304302514</v>
      </c>
    </row>
    <row r="66" spans="1:10" x14ac:dyDescent="0.2">
      <c r="A66" s="217" t="s">
        <v>28</v>
      </c>
      <c r="B66" s="690">
        <f>'AR - Market 1'!B66+'AR - Market 2'!B66</f>
        <v>145053.66</v>
      </c>
      <c r="C66" s="221">
        <f t="shared" si="20"/>
        <v>3.304069717815717E-2</v>
      </c>
      <c r="D66" s="690">
        <f>'AR - Market 1'!D66+'AR - Market 2'!D66</f>
        <v>97801.739999999991</v>
      </c>
      <c r="E66" s="224">
        <f t="shared" si="21"/>
        <v>7.1020930882955358E-2</v>
      </c>
      <c r="F66" s="690">
        <f>'AR - Market 1'!F66+'AR - Market 2'!F66</f>
        <v>-22619.49</v>
      </c>
      <c r="G66" s="690">
        <f>'AR - Market 1'!G66+'AR - Market 2'!G66</f>
        <v>242855.39999999997</v>
      </c>
      <c r="H66" s="224">
        <f t="shared" si="22"/>
        <v>4.2109505709308187E-2</v>
      </c>
      <c r="J66" s="339">
        <v>8.9145967057564252E-2</v>
      </c>
    </row>
    <row r="67" spans="1:10" x14ac:dyDescent="0.2">
      <c r="A67" s="217" t="s">
        <v>151</v>
      </c>
      <c r="B67" s="690">
        <f>'AR - Market 1'!B67+'AR - Market 2'!B67</f>
        <v>115955.37</v>
      </c>
      <c r="C67" s="221">
        <f t="shared" si="20"/>
        <v>2.6412613555226189E-2</v>
      </c>
      <c r="D67" s="690">
        <f>'AR - Market 1'!D67+'AR - Market 2'!D67</f>
        <v>76893.55</v>
      </c>
      <c r="E67" s="224">
        <f t="shared" si="21"/>
        <v>5.5837978955129763E-2</v>
      </c>
      <c r="F67" s="690">
        <f>'AR - Market 1'!F67+'AR - Market 2'!F67</f>
        <v>-65418.619999999995</v>
      </c>
      <c r="G67" s="690">
        <f>'AR - Market 1'!G67+'AR - Market 2'!G67</f>
        <v>192848.92</v>
      </c>
      <c r="H67" s="224">
        <f t="shared" si="22"/>
        <v>3.3438715786323549E-2</v>
      </c>
      <c r="J67" s="339">
        <v>6.0132685033882173E-2</v>
      </c>
    </row>
    <row r="68" spans="1:10" x14ac:dyDescent="0.2">
      <c r="A68" s="217" t="s">
        <v>152</v>
      </c>
      <c r="B68" s="690">
        <f>'AR - Market 1'!B68+'AR - Market 2'!B68</f>
        <v>119735.23000000001</v>
      </c>
      <c r="C68" s="221">
        <f t="shared" si="20"/>
        <v>2.7273599824968225E-2</v>
      </c>
      <c r="D68" s="690">
        <f>'AR - Market 1'!D68+'AR - Market 2'!D68</f>
        <v>84983.24</v>
      </c>
      <c r="E68" s="224">
        <f t="shared" si="21"/>
        <v>6.1712489105506793E-2</v>
      </c>
      <c r="F68" s="690">
        <f>'AR - Market 1'!F68+'AR - Market 2'!F68</f>
        <v>-81408.599999999991</v>
      </c>
      <c r="G68" s="690">
        <f>'AR - Market 1'!G68+'AR - Market 2'!G68</f>
        <v>204718.47</v>
      </c>
      <c r="H68" s="224">
        <f t="shared" si="22"/>
        <v>3.5496816547072201E-2</v>
      </c>
      <c r="J68" s="339">
        <v>5.0129319843451668E-2</v>
      </c>
    </row>
    <row r="69" spans="1:10" ht="13.5" thickBot="1" x14ac:dyDescent="0.25">
      <c r="A69" s="226" t="s">
        <v>153</v>
      </c>
      <c r="B69" s="691">
        <f>'AR - Market 1'!B69+'AR - Market 2'!B69</f>
        <v>303224.46000000002</v>
      </c>
      <c r="C69" s="228">
        <f t="shared" si="20"/>
        <v>6.9069250371691648E-2</v>
      </c>
      <c r="D69" s="691">
        <f>'AR - Market 1'!D69+'AR - Market 2'!D69</f>
        <v>640835.07999999996</v>
      </c>
      <c r="E69" s="229">
        <f t="shared" si="21"/>
        <v>0.46535679144413145</v>
      </c>
      <c r="F69" s="691">
        <f>'AR - Market 1'!F69+'AR - Market 2'!F69</f>
        <v>-132917.09</v>
      </c>
      <c r="G69" s="691">
        <f>'AR - Market 1'!G69+'AR - Market 2'!G69</f>
        <v>944059.54</v>
      </c>
      <c r="H69" s="229">
        <f t="shared" si="22"/>
        <v>0.16369362422889039</v>
      </c>
      <c r="J69" s="339">
        <v>0.36198126635484473</v>
      </c>
    </row>
    <row r="70" spans="1:10" ht="13.5" thickBot="1" x14ac:dyDescent="0.25">
      <c r="A70" s="232" t="s">
        <v>24</v>
      </c>
      <c r="B70" s="692">
        <f>'AR - Market 1'!B70+'AR - Market 2'!B70</f>
        <v>4390151.3099999996</v>
      </c>
      <c r="C70" s="234">
        <f t="shared" si="20"/>
        <v>1</v>
      </c>
      <c r="D70" s="692">
        <f>'AR - Market 1'!D70+'AR - Market 2'!D70</f>
        <v>1377083.3299999998</v>
      </c>
      <c r="E70" s="235">
        <f t="shared" si="21"/>
        <v>1</v>
      </c>
      <c r="F70" s="692">
        <f>'AR - Market 1'!F70+'AR - Market 2'!F70</f>
        <v>-355204.94</v>
      </c>
      <c r="G70" s="692">
        <f>'AR - Market 1'!G70+'AR - Market 2'!G70</f>
        <v>5767234.6400000006</v>
      </c>
      <c r="H70" s="235">
        <f t="shared" si="22"/>
        <v>1</v>
      </c>
      <c r="J70" s="339">
        <v>2</v>
      </c>
    </row>
    <row r="73" spans="1:10" ht="13.5" thickBot="1" x14ac:dyDescent="0.25">
      <c r="A73" s="677" t="s">
        <v>302</v>
      </c>
      <c r="B73" s="678"/>
      <c r="C73" s="679"/>
      <c r="D73" s="680"/>
      <c r="E73" s="680"/>
      <c r="F73" s="680"/>
      <c r="G73" s="680"/>
      <c r="H73" s="680"/>
    </row>
    <row r="74" spans="1:10" x14ac:dyDescent="0.2">
      <c r="A74" s="216" t="s">
        <v>19</v>
      </c>
      <c r="B74" s="689" t="s">
        <v>20</v>
      </c>
      <c r="C74" s="671" t="s">
        <v>21</v>
      </c>
      <c r="D74" s="672" t="s">
        <v>22</v>
      </c>
      <c r="E74" s="672" t="s">
        <v>21</v>
      </c>
      <c r="F74" s="672" t="s">
        <v>23</v>
      </c>
      <c r="G74" s="672" t="s">
        <v>24</v>
      </c>
      <c r="H74" s="672" t="s">
        <v>21</v>
      </c>
    </row>
    <row r="75" spans="1:10" x14ac:dyDescent="0.2">
      <c r="A75" s="217" t="s">
        <v>25</v>
      </c>
      <c r="B75" s="690">
        <f>'AR - Market 1'!B75+'AR - Market 2'!B75</f>
        <v>2891529.0100000002</v>
      </c>
      <c r="C75" s="221">
        <f>B75/$B$82</f>
        <v>0.60267021976537283</v>
      </c>
      <c r="D75" s="690">
        <f>'AR - Market 1'!D75+'AR - Market 2'!D75</f>
        <v>15136.890000000001</v>
      </c>
      <c r="E75" s="224">
        <f>D75/$D$82</f>
        <v>1.2025595661786282E-2</v>
      </c>
      <c r="F75" s="690">
        <f>'AR - Market 1'!F75+'AR - Market 2'!F75</f>
        <v>-22652.530000000006</v>
      </c>
      <c r="G75" s="690">
        <f>'AR - Market 1'!G75+'AR - Market 2'!G75</f>
        <v>2906665.9000000004</v>
      </c>
      <c r="H75" s="224">
        <f>G75/$G$82</f>
        <v>0.47991825162806878</v>
      </c>
      <c r="J75" s="339">
        <v>0.93392442269193809</v>
      </c>
    </row>
    <row r="76" spans="1:10" x14ac:dyDescent="0.2">
      <c r="A76" s="217" t="s">
        <v>26</v>
      </c>
      <c r="B76" s="690">
        <f>'AR - Market 1'!B76+'AR - Market 2'!B76</f>
        <v>616548.49999999988</v>
      </c>
      <c r="C76" s="221">
        <f t="shared" ref="C76:C81" si="23">B76/$B$82</f>
        <v>0.12850482174170227</v>
      </c>
      <c r="D76" s="690">
        <f>'AR - Market 1'!D76+'AR - Market 2'!D76</f>
        <v>193817.91999999995</v>
      </c>
      <c r="E76" s="224">
        <f t="shared" ref="E76:E81" si="24">D76/$D$82</f>
        <v>0.15397984248603511</v>
      </c>
      <c r="F76" s="690">
        <f>'AR - Market 1'!F76+'AR - Market 2'!F76</f>
        <v>-28376.309999999998</v>
      </c>
      <c r="G76" s="690">
        <f>'AR - Market 1'!G76+'AR - Market 2'!G76</f>
        <v>810366.41999999981</v>
      </c>
      <c r="H76" s="224">
        <f t="shared" ref="H76:H81" si="25">G76/$G$82</f>
        <v>0.1337992218040942</v>
      </c>
      <c r="J76" s="339">
        <v>0.33290842597529396</v>
      </c>
    </row>
    <row r="77" spans="1:10" x14ac:dyDescent="0.2">
      <c r="A77" s="217" t="s">
        <v>27</v>
      </c>
      <c r="B77" s="690">
        <f>'AR - Market 1'!B77+'AR - Market 2'!B77</f>
        <v>232568.39</v>
      </c>
      <c r="C77" s="221">
        <f t="shared" si="23"/>
        <v>4.8473330970239495E-2</v>
      </c>
      <c r="D77" s="690">
        <f>'AR - Market 1'!D77+'AR - Market 2'!D77</f>
        <v>112387.87000000002</v>
      </c>
      <c r="E77" s="224">
        <f t="shared" si="24"/>
        <v>8.9287236804218087E-2</v>
      </c>
      <c r="F77" s="690">
        <f>'AR - Market 1'!F77+'AR - Market 2'!F77</f>
        <v>-19972.349999999991</v>
      </c>
      <c r="G77" s="690">
        <f>'AR - Market 1'!G77+'AR - Market 2'!G77</f>
        <v>344956.26000000007</v>
      </c>
      <c r="H77" s="224">
        <f t="shared" si="25"/>
        <v>5.695556726604098E-2</v>
      </c>
      <c r="J77" s="339">
        <v>0.17177791304302514</v>
      </c>
    </row>
    <row r="78" spans="1:10" x14ac:dyDescent="0.2">
      <c r="A78" s="217" t="s">
        <v>28</v>
      </c>
      <c r="B78" s="690">
        <f>'AR - Market 1'!B78+'AR - Market 2'!B78</f>
        <v>213554.29</v>
      </c>
      <c r="C78" s="221">
        <f t="shared" si="23"/>
        <v>4.451029557062551E-2</v>
      </c>
      <c r="D78" s="690">
        <f>'AR - Market 1'!D78+'AR - Market 2'!D78</f>
        <v>68045.260000000009</v>
      </c>
      <c r="E78" s="224">
        <f t="shared" si="24"/>
        <v>5.4058976676260424E-2</v>
      </c>
      <c r="F78" s="690">
        <f>'AR - Market 1'!F78+'AR - Market 2'!F78</f>
        <v>-53652.579999999987</v>
      </c>
      <c r="G78" s="690">
        <f>'AR - Market 1'!G78+'AR - Market 2'!G78</f>
        <v>281599.55000000005</v>
      </c>
      <c r="H78" s="224">
        <f t="shared" si="25"/>
        <v>4.6494770415564768E-2</v>
      </c>
      <c r="J78" s="339">
        <v>8.9145967057564252E-2</v>
      </c>
    </row>
    <row r="79" spans="1:10" x14ac:dyDescent="0.2">
      <c r="A79" s="217" t="s">
        <v>151</v>
      </c>
      <c r="B79" s="690">
        <f>'AR - Market 1'!B79+'AR - Market 2'!B79</f>
        <v>273053.86</v>
      </c>
      <c r="C79" s="221">
        <f t="shared" si="23"/>
        <v>5.6911561061593265E-2</v>
      </c>
      <c r="D79" s="690">
        <f>'AR - Market 1'!D79+'AR - Market 2'!D79</f>
        <v>70835.03</v>
      </c>
      <c r="E79" s="224">
        <f t="shared" si="24"/>
        <v>5.6275326666871531E-2</v>
      </c>
      <c r="F79" s="690">
        <f>'AR - Market 1'!F79+'AR - Market 2'!F79</f>
        <v>-69571.909999999989</v>
      </c>
      <c r="G79" s="690">
        <f>'AR - Market 1'!G79+'AR - Market 2'!G79</f>
        <v>343888.89</v>
      </c>
      <c r="H79" s="224">
        <f t="shared" si="25"/>
        <v>5.6779334302961088E-2</v>
      </c>
      <c r="J79" s="339">
        <v>6.0132685033882173E-2</v>
      </c>
    </row>
    <row r="80" spans="1:10" x14ac:dyDescent="0.2">
      <c r="A80" s="217" t="s">
        <v>152</v>
      </c>
      <c r="B80" s="690">
        <f>'AR - Market 1'!B80+'AR - Market 2'!B80</f>
        <v>240261.29</v>
      </c>
      <c r="C80" s="221">
        <f t="shared" si="23"/>
        <v>5.0076732394745013E-2</v>
      </c>
      <c r="D80" s="690">
        <f>'AR - Market 1'!D80+'AR - Market 2'!D80</f>
        <v>65951.889999999985</v>
      </c>
      <c r="E80" s="224">
        <f t="shared" si="24"/>
        <v>5.239588596274438E-2</v>
      </c>
      <c r="F80" s="690">
        <f>'AR - Market 1'!F80+'AR - Market 2'!F80</f>
        <v>-62996.030000000006</v>
      </c>
      <c r="G80" s="690">
        <f>'AR - Market 1'!G80+'AR - Market 2'!G80</f>
        <v>306213.18</v>
      </c>
      <c r="H80" s="224">
        <f t="shared" si="25"/>
        <v>5.0558715389708568E-2</v>
      </c>
      <c r="J80" s="339">
        <v>5.0129319843451668E-2</v>
      </c>
    </row>
    <row r="81" spans="1:10" ht="13.5" thickBot="1" x14ac:dyDescent="0.25">
      <c r="A81" s="226" t="s">
        <v>153</v>
      </c>
      <c r="B81" s="691">
        <f>'AR - Market 1'!B81+'AR - Market 2'!B81</f>
        <v>330347.43</v>
      </c>
      <c r="C81" s="228">
        <f t="shared" si="23"/>
        <v>6.8853038495721719E-2</v>
      </c>
      <c r="D81" s="691">
        <f>'AR - Market 1'!D81+'AR - Market 2'!D81</f>
        <v>732547.82</v>
      </c>
      <c r="E81" s="229">
        <f t="shared" si="24"/>
        <v>0.58197713574208421</v>
      </c>
      <c r="F81" s="691">
        <f>'AR - Market 1'!F81+'AR - Market 2'!F81</f>
        <v>-63344.509999999995</v>
      </c>
      <c r="G81" s="691">
        <f>'AR - Market 1'!G81+'AR - Market 2'!G81</f>
        <v>1062895.25</v>
      </c>
      <c r="H81" s="229">
        <f t="shared" si="25"/>
        <v>0.1754941391935616</v>
      </c>
      <c r="J81" s="339">
        <v>0.36198126635484473</v>
      </c>
    </row>
    <row r="82" spans="1:10" ht="13.5" thickBot="1" x14ac:dyDescent="0.25">
      <c r="A82" s="232" t="s">
        <v>24</v>
      </c>
      <c r="B82" s="692">
        <f>'AR - Market 1'!B82+'AR - Market 2'!B82</f>
        <v>4797862.7699999996</v>
      </c>
      <c r="C82" s="234">
        <f>SUM(C75:C81)</f>
        <v>1</v>
      </c>
      <c r="D82" s="692">
        <f>'AR - Market 1'!D82+'AR - Market 2'!D82</f>
        <v>1258722.68</v>
      </c>
      <c r="E82" s="235">
        <f>SUM(E75:E81)</f>
        <v>1</v>
      </c>
      <c r="F82" s="692">
        <f>'AR - Market 1'!F82+'AR - Market 2'!F82</f>
        <v>-320566.22000000003</v>
      </c>
      <c r="G82" s="692">
        <f>'AR - Market 1'!G82+'AR - Market 2'!G82</f>
        <v>6056585.4500000002</v>
      </c>
      <c r="H82" s="235">
        <f>SUM(H75:H81)</f>
        <v>1</v>
      </c>
      <c r="J82" s="339">
        <v>2</v>
      </c>
    </row>
    <row r="85" spans="1:10" ht="13.5" thickBot="1" x14ac:dyDescent="0.25">
      <c r="A85" s="677" t="s">
        <v>301</v>
      </c>
      <c r="B85" s="678"/>
      <c r="C85" s="679"/>
      <c r="D85" s="680"/>
      <c r="E85" s="680"/>
      <c r="F85" s="680"/>
      <c r="G85" s="680"/>
      <c r="H85" s="680"/>
    </row>
    <row r="86" spans="1:10" x14ac:dyDescent="0.2">
      <c r="A86" s="216" t="s">
        <v>19</v>
      </c>
      <c r="B86" s="689" t="s">
        <v>20</v>
      </c>
      <c r="C86" s="671" t="s">
        <v>21</v>
      </c>
      <c r="D86" s="672" t="s">
        <v>22</v>
      </c>
      <c r="E86" s="672" t="s">
        <v>21</v>
      </c>
      <c r="F86" s="672" t="s">
        <v>23</v>
      </c>
      <c r="G86" s="672" t="s">
        <v>24</v>
      </c>
      <c r="H86" s="672" t="s">
        <v>21</v>
      </c>
    </row>
    <row r="87" spans="1:10" x14ac:dyDescent="0.2">
      <c r="A87" s="217" t="s">
        <v>25</v>
      </c>
      <c r="B87" s="690">
        <f>'AR - Market 1'!B87+'AR - Market 2'!B87</f>
        <v>2744761.88</v>
      </c>
      <c r="C87" s="221">
        <f>B87/$B$94</f>
        <v>0.67412629238888278</v>
      </c>
      <c r="D87" s="690">
        <f>'AR - Market 1'!D87+'AR - Market 2'!D87</f>
        <v>58627.89</v>
      </c>
      <c r="E87" s="224">
        <f>D87/$D$94</f>
        <v>4.3778135119181133E-2</v>
      </c>
      <c r="F87" s="690">
        <f>'AR - Market 1'!F87+'AR - Market 2'!F87</f>
        <v>-10761.630000000001</v>
      </c>
      <c r="G87" s="690">
        <f>'AR - Market 1'!G87+'AR - Market 2'!G87</f>
        <v>2803389.77</v>
      </c>
      <c r="H87" s="224">
        <f>G87/$G$94</f>
        <v>0.51811109555926094</v>
      </c>
      <c r="J87" s="339">
        <v>0.93392442269193809</v>
      </c>
    </row>
    <row r="88" spans="1:10" x14ac:dyDescent="0.2">
      <c r="A88" s="217" t="s">
        <v>26</v>
      </c>
      <c r="B88" s="690">
        <f>'AR - Market 1'!B88+'AR - Market 2'!B88</f>
        <v>522304.36</v>
      </c>
      <c r="C88" s="221">
        <f t="shared" ref="C88:C93" si="26">B88/$B$94</f>
        <v>0.12828038172307621</v>
      </c>
      <c r="D88" s="690">
        <f>'AR - Market 1'!D88+'AR - Market 2'!D88</f>
        <v>159157.66</v>
      </c>
      <c r="E88" s="224">
        <f t="shared" ref="E88:E93" si="27">D88/$D$94</f>
        <v>0.11884489693783437</v>
      </c>
      <c r="F88" s="690">
        <f>'AR - Market 1'!F88+'AR - Market 2'!F88</f>
        <v>-4051.66</v>
      </c>
      <c r="G88" s="690">
        <f>'AR - Market 1'!G88+'AR - Market 2'!G88</f>
        <v>681462.02</v>
      </c>
      <c r="H88" s="224">
        <f t="shared" ref="H88:H93" si="28">G88/$G$94</f>
        <v>0.12594503894627077</v>
      </c>
      <c r="J88" s="339">
        <v>0.33290842597529396</v>
      </c>
    </row>
    <row r="89" spans="1:10" x14ac:dyDescent="0.2">
      <c r="A89" s="217" t="s">
        <v>27</v>
      </c>
      <c r="B89" s="690">
        <f>'AR - Market 1'!B89+'AR - Market 2'!B89</f>
        <v>196928.59</v>
      </c>
      <c r="C89" s="221">
        <f t="shared" si="26"/>
        <v>4.836657824833622E-2</v>
      </c>
      <c r="D89" s="690">
        <f>'AR - Market 1'!D89+'AR - Market 2'!D89</f>
        <v>124389.93999999997</v>
      </c>
      <c r="E89" s="224">
        <f t="shared" si="27"/>
        <v>9.2883431431471139E-2</v>
      </c>
      <c r="F89" s="690">
        <f>'AR - Market 1'!F89+'AR - Market 2'!F89</f>
        <v>-6064.3400000000011</v>
      </c>
      <c r="G89" s="690">
        <f>'AR - Market 1'!G89+'AR - Market 2'!G89</f>
        <v>321318.52999999997</v>
      </c>
      <c r="H89" s="224">
        <f t="shared" si="28"/>
        <v>5.9384783872487072E-2</v>
      </c>
      <c r="J89" s="339">
        <v>0.17177791304302514</v>
      </c>
    </row>
    <row r="90" spans="1:10" x14ac:dyDescent="0.2">
      <c r="A90" s="217" t="s">
        <v>28</v>
      </c>
      <c r="B90" s="690">
        <f>'AR - Market 1'!B90+'AR - Market 2'!B90</f>
        <v>136063.67000000004</v>
      </c>
      <c r="C90" s="221">
        <f t="shared" si="26"/>
        <v>3.3417870619044193E-2</v>
      </c>
      <c r="D90" s="690">
        <f>'AR - Market 1'!D90+'AR - Market 2'!D90</f>
        <v>133433.07999999999</v>
      </c>
      <c r="E90" s="224">
        <f t="shared" si="27"/>
        <v>9.96360504464429E-2</v>
      </c>
      <c r="F90" s="690">
        <f>'AR - Market 1'!F90+'AR - Market 2'!F90</f>
        <v>-6071.1600000000017</v>
      </c>
      <c r="G90" s="690">
        <f>'AR - Market 1'!G90+'AR - Market 2'!G90</f>
        <v>269496.75</v>
      </c>
      <c r="H90" s="224">
        <f t="shared" si="28"/>
        <v>4.9807293258461262E-2</v>
      </c>
      <c r="J90" s="339">
        <v>8.9145967057564252E-2</v>
      </c>
    </row>
    <row r="91" spans="1:10" x14ac:dyDescent="0.2">
      <c r="A91" s="217" t="s">
        <v>151</v>
      </c>
      <c r="B91" s="690">
        <f>'AR - Market 1'!B91+'AR - Market 2'!B91</f>
        <v>98660.170000000013</v>
      </c>
      <c r="C91" s="221">
        <f t="shared" si="26"/>
        <v>2.4231396935808835E-2</v>
      </c>
      <c r="D91" s="690">
        <f>'AR - Market 1'!D91+'AR - Market 2'!D91</f>
        <v>108805.71000000002</v>
      </c>
      <c r="E91" s="224">
        <f t="shared" si="27"/>
        <v>8.1246503568837947E-2</v>
      </c>
      <c r="F91" s="690">
        <f>'AR - Market 1'!F91+'AR - Market 2'!F91</f>
        <v>-7131.58</v>
      </c>
      <c r="G91" s="690">
        <f>'AR - Market 1'!G91+'AR - Market 2'!G91</f>
        <v>207465.88000000003</v>
      </c>
      <c r="H91" s="224">
        <f t="shared" si="28"/>
        <v>3.83430001522643E-2</v>
      </c>
      <c r="J91" s="339">
        <v>6.0132685033882173E-2</v>
      </c>
    </row>
    <row r="92" spans="1:10" x14ac:dyDescent="0.2">
      <c r="A92" s="217" t="s">
        <v>152</v>
      </c>
      <c r="B92" s="690">
        <f>'AR - Market 1'!B92+'AR - Market 2'!B92</f>
        <v>46011.4</v>
      </c>
      <c r="C92" s="221">
        <f t="shared" si="26"/>
        <v>1.130061398609261E-2</v>
      </c>
      <c r="D92" s="690">
        <f>'AR - Market 1'!D92+'AR - Market 2'!D92</f>
        <v>114723.11999999997</v>
      </c>
      <c r="E92" s="224">
        <f t="shared" si="27"/>
        <v>8.5665103223978037E-2</v>
      </c>
      <c r="F92" s="690">
        <f>'AR - Market 1'!F92+'AR - Market 2'!F92</f>
        <v>-6773.5700000000015</v>
      </c>
      <c r="G92" s="690">
        <f>'AR - Market 1'!G92+'AR - Market 2'!G92</f>
        <v>160734.51999999996</v>
      </c>
      <c r="H92" s="224">
        <f t="shared" si="28"/>
        <v>2.9706300259272161E-2</v>
      </c>
      <c r="J92" s="339">
        <v>5.0129319843451668E-2</v>
      </c>
    </row>
    <row r="93" spans="1:10" ht="13.5" thickBot="1" x14ac:dyDescent="0.25">
      <c r="A93" s="226" t="s">
        <v>153</v>
      </c>
      <c r="B93" s="691">
        <f>'AR - Market 1'!B93+'AR - Market 2'!B93</f>
        <v>326854.00999999995</v>
      </c>
      <c r="C93" s="228">
        <f t="shared" si="26"/>
        <v>8.0276866098759281E-2</v>
      </c>
      <c r="D93" s="690">
        <f>'AR - Market 1'!D93+'AR - Market 2'!D93</f>
        <v>640067.43000000017</v>
      </c>
      <c r="E93" s="229">
        <f t="shared" si="27"/>
        <v>0.47794587927225451</v>
      </c>
      <c r="F93" s="691">
        <f>'AR - Market 1'!F93+'AR - Market 2'!F93</f>
        <v>-62256.89</v>
      </c>
      <c r="G93" s="691">
        <f>'AR - Market 1'!G93+'AR - Market 2'!G93</f>
        <v>966921.44</v>
      </c>
      <c r="H93" s="229">
        <f t="shared" si="28"/>
        <v>0.17870248795198329</v>
      </c>
      <c r="J93" s="339">
        <v>0.36198126635484473</v>
      </c>
    </row>
    <row r="94" spans="1:10" ht="13.5" thickBot="1" x14ac:dyDescent="0.25">
      <c r="A94" s="232" t="s">
        <v>24</v>
      </c>
      <c r="B94" s="692">
        <f>SUM(B87:B93)</f>
        <v>4071584.0799999991</v>
      </c>
      <c r="C94" s="234">
        <f>SUM(C87:C93)</f>
        <v>1.0000000000000002</v>
      </c>
      <c r="D94" s="690">
        <f>'AR - Market 1'!D94+'AR - Market 2'!D94</f>
        <v>1339204.83</v>
      </c>
      <c r="E94" s="235">
        <f>SUM(E87:E93)</f>
        <v>1</v>
      </c>
      <c r="F94" s="692">
        <f>'AR - Market 1'!F94+'AR - Market 2'!F94</f>
        <v>-103110.83000000002</v>
      </c>
      <c r="G94" s="692">
        <f>'AR - Market 1'!G94+'AR - Market 2'!G94</f>
        <v>5410788.9100000011</v>
      </c>
      <c r="H94" s="235">
        <f>SUM(H87:H93)</f>
        <v>0.99999999999999967</v>
      </c>
      <c r="J94" s="339">
        <v>2</v>
      </c>
    </row>
    <row r="97" spans="1:10" ht="13.5" thickBot="1" x14ac:dyDescent="0.25">
      <c r="A97" s="677" t="s">
        <v>300</v>
      </c>
      <c r="B97" s="678"/>
      <c r="C97" s="679"/>
      <c r="D97" s="680"/>
      <c r="E97" s="680"/>
      <c r="F97" s="680"/>
      <c r="G97" s="680"/>
      <c r="H97" s="680"/>
    </row>
    <row r="98" spans="1:10" x14ac:dyDescent="0.2">
      <c r="A98" s="216" t="s">
        <v>19</v>
      </c>
      <c r="B98" s="689" t="s">
        <v>20</v>
      </c>
      <c r="C98" s="671" t="s">
        <v>21</v>
      </c>
      <c r="D98" s="672" t="s">
        <v>22</v>
      </c>
      <c r="E98" s="672" t="s">
        <v>21</v>
      </c>
      <c r="F98" s="672" t="s">
        <v>23</v>
      </c>
      <c r="G98" s="672" t="s">
        <v>24</v>
      </c>
      <c r="H98" s="672" t="s">
        <v>21</v>
      </c>
    </row>
    <row r="99" spans="1:10" x14ac:dyDescent="0.2">
      <c r="A99" s="217" t="s">
        <v>25</v>
      </c>
      <c r="B99" s="690">
        <f>'AR - Market 1'!B99+'AR - Market 2'!B99</f>
        <v>2602739.67</v>
      </c>
      <c r="C99" s="221">
        <f>B99/$B$106</f>
        <v>0.64163221677791027</v>
      </c>
      <c r="D99" s="690">
        <f>'AR - Market 1'!D99+'AR - Market 2'!D99</f>
        <v>21894.679999999997</v>
      </c>
      <c r="E99" s="224">
        <f>D99/$D$106</f>
        <v>1.5328230518001581E-2</v>
      </c>
      <c r="F99" s="690">
        <f>'AR - Market 1'!F99+'AR - Market 2'!F99</f>
        <v>-15832.74</v>
      </c>
      <c r="G99" s="690">
        <f>'AR - Market 1'!G99+'AR - Market 2'!G99</f>
        <v>2624634.35</v>
      </c>
      <c r="H99" s="224">
        <f>G99/$G$106</f>
        <v>0.47852656811975564</v>
      </c>
      <c r="J99" s="339">
        <v>0.93392442269193809</v>
      </c>
    </row>
    <row r="100" spans="1:10" x14ac:dyDescent="0.2">
      <c r="A100" s="217" t="s">
        <v>26</v>
      </c>
      <c r="B100" s="690">
        <f>'AR - Market 1'!B100+'AR - Market 2'!B100</f>
        <v>493575.51</v>
      </c>
      <c r="C100" s="221">
        <f t="shared" ref="C100:C105" si="29">B100/$B$106</f>
        <v>0.12167715130287603</v>
      </c>
      <c r="D100" s="690">
        <f>'AR - Market 1'!D100+'AR - Market 2'!D100</f>
        <v>158834.63</v>
      </c>
      <c r="E100" s="224">
        <f t="shared" ref="E100:E105" si="30">D100/$D$106</f>
        <v>0.11119842002173541</v>
      </c>
      <c r="F100" s="690">
        <f>'AR - Market 1'!F100+'AR - Market 2'!F100</f>
        <v>-5342.82</v>
      </c>
      <c r="G100" s="690">
        <f>'AR - Market 1'!G100+'AR - Market 2'!G100</f>
        <v>652410.14</v>
      </c>
      <c r="H100" s="224">
        <f t="shared" ref="H100:H105" si="31">G100/$G$106</f>
        <v>0.1189482204638255</v>
      </c>
      <c r="J100" s="339">
        <v>0.33290842597529396</v>
      </c>
    </row>
    <row r="101" spans="1:10" x14ac:dyDescent="0.2">
      <c r="A101" s="217" t="s">
        <v>27</v>
      </c>
      <c r="B101" s="690">
        <f>'AR - Market 1'!B101+'AR - Market 2'!B101</f>
        <v>262583.37</v>
      </c>
      <c r="C101" s="221">
        <f t="shared" si="29"/>
        <v>6.4732539993949609E-2</v>
      </c>
      <c r="D101" s="690">
        <f>'AR - Market 1'!D101+'AR - Market 2'!D101</f>
        <v>143099.29999999999</v>
      </c>
      <c r="E101" s="224">
        <f t="shared" si="30"/>
        <v>0.1001822843432589</v>
      </c>
      <c r="F101" s="690">
        <f>'AR - Market 1'!F101+'AR - Market 2'!F101</f>
        <v>-3042.74</v>
      </c>
      <c r="G101" s="690">
        <f>'AR - Market 1'!G101+'AR - Market 2'!G101</f>
        <v>405682.67</v>
      </c>
      <c r="H101" s="224">
        <f t="shared" si="31"/>
        <v>7.3964564176628778E-2</v>
      </c>
      <c r="J101" s="339">
        <v>0.17177791304302514</v>
      </c>
    </row>
    <row r="102" spans="1:10" x14ac:dyDescent="0.2">
      <c r="A102" s="217" t="s">
        <v>28</v>
      </c>
      <c r="B102" s="690">
        <f>'AR - Market 1'!B102+'AR - Market 2'!B102</f>
        <v>146214.74</v>
      </c>
      <c r="C102" s="221">
        <f t="shared" si="29"/>
        <v>3.6045129227928421E-2</v>
      </c>
      <c r="D102" s="690">
        <f>'AR - Market 1'!D102+'AR - Market 2'!D102</f>
        <v>126907.66999999998</v>
      </c>
      <c r="E102" s="224">
        <f t="shared" si="30"/>
        <v>8.8846697931299914E-2</v>
      </c>
      <c r="F102" s="690">
        <f>'AR - Market 1'!F102+'AR - Market 2'!F102</f>
        <v>-5909.4</v>
      </c>
      <c r="G102" s="690">
        <f>'AR - Market 1'!G102+'AR - Market 2'!G102</f>
        <v>273122.40999999997</v>
      </c>
      <c r="H102" s="224">
        <f t="shared" si="31"/>
        <v>4.9796014265338265E-2</v>
      </c>
      <c r="J102" s="339">
        <v>8.9145967057564252E-2</v>
      </c>
    </row>
    <row r="103" spans="1:10" x14ac:dyDescent="0.2">
      <c r="A103" s="217" t="s">
        <v>151</v>
      </c>
      <c r="B103" s="690">
        <f>'AR - Market 1'!B103+'AR - Market 2'!B103</f>
        <v>95883.37</v>
      </c>
      <c r="C103" s="221">
        <f t="shared" si="29"/>
        <v>2.3637346429363246E-2</v>
      </c>
      <c r="D103" s="690">
        <f>'AR - Market 1'!D103+'AR - Market 2'!D103</f>
        <v>131796.70999999996</v>
      </c>
      <c r="E103" s="224">
        <f t="shared" si="30"/>
        <v>9.2269462371416436E-2</v>
      </c>
      <c r="F103" s="690">
        <f>'AR - Market 1'!F103+'AR - Market 2'!F103</f>
        <v>-7583.67</v>
      </c>
      <c r="G103" s="690">
        <f>'AR - Market 1'!G103+'AR - Market 2'!G103</f>
        <v>227680.07999999996</v>
      </c>
      <c r="H103" s="224">
        <f t="shared" si="31"/>
        <v>4.1510912676895884E-2</v>
      </c>
      <c r="J103" s="339">
        <v>6.0132685033882173E-2</v>
      </c>
    </row>
    <row r="104" spans="1:10" x14ac:dyDescent="0.2">
      <c r="A104" s="217" t="s">
        <v>152</v>
      </c>
      <c r="B104" s="690">
        <f>'AR - Market 1'!B104+'AR - Market 2'!B104</f>
        <v>95394.75</v>
      </c>
      <c r="C104" s="221">
        <f t="shared" si="29"/>
        <v>2.3516890919588033E-2</v>
      </c>
      <c r="D104" s="690">
        <f>'AR - Market 1'!D104+'AR - Market 2'!D104</f>
        <v>130229.23000000001</v>
      </c>
      <c r="E104" s="224">
        <f t="shared" si="30"/>
        <v>9.1172086443914571E-2</v>
      </c>
      <c r="F104" s="690">
        <f>'AR - Market 1'!F104+'AR - Market 2'!F104</f>
        <v>-6786.6500000000005</v>
      </c>
      <c r="G104" s="690">
        <f>'AR - Market 1'!G104+'AR - Market 2'!G104</f>
        <v>225623.98</v>
      </c>
      <c r="H104" s="224">
        <f t="shared" si="31"/>
        <v>4.1136041991876086E-2</v>
      </c>
      <c r="J104" s="339">
        <v>5.0129319843451668E-2</v>
      </c>
    </row>
    <row r="105" spans="1:10" ht="13.5" thickBot="1" x14ac:dyDescent="0.25">
      <c r="A105" s="226" t="s">
        <v>153</v>
      </c>
      <c r="B105" s="691">
        <f>'AR - Market 1'!B105+'AR - Market 2'!B105</f>
        <v>360044.04</v>
      </c>
      <c r="C105" s="228">
        <f t="shared" si="29"/>
        <v>8.8758725348384374E-2</v>
      </c>
      <c r="D105" s="691">
        <f>'AR - Market 1'!D105+'AR - Market 2'!D105</f>
        <v>715627.04999999981</v>
      </c>
      <c r="E105" s="229">
        <f t="shared" si="30"/>
        <v>0.50100281837037319</v>
      </c>
      <c r="F105" s="691">
        <f>'AR - Market 1'!F105+'AR - Market 2'!F105</f>
        <v>-55416.08</v>
      </c>
      <c r="G105" s="691">
        <f>'AR - Market 1'!G105+'AR - Market 2'!G105</f>
        <v>1075671.0899999996</v>
      </c>
      <c r="H105" s="229">
        <f t="shared" si="31"/>
        <v>0.19611767830567967</v>
      </c>
      <c r="J105" s="339">
        <v>0.36198126635484473</v>
      </c>
    </row>
    <row r="106" spans="1:10" ht="13.5" thickBot="1" x14ac:dyDescent="0.25">
      <c r="A106" s="232" t="s">
        <v>24</v>
      </c>
      <c r="B106" s="692">
        <f t="shared" ref="B106:H106" si="32">SUM(B99:B105)</f>
        <v>4056435.45</v>
      </c>
      <c r="C106" s="234">
        <f t="shared" si="32"/>
        <v>1</v>
      </c>
      <c r="D106" s="692">
        <f t="shared" si="32"/>
        <v>1428389.2699999998</v>
      </c>
      <c r="E106" s="235">
        <f t="shared" si="32"/>
        <v>1</v>
      </c>
      <c r="F106" s="692">
        <f t="shared" si="32"/>
        <v>-99914.1</v>
      </c>
      <c r="G106" s="692">
        <f t="shared" si="32"/>
        <v>5484824.7200000007</v>
      </c>
      <c r="H106" s="235">
        <f t="shared" si="32"/>
        <v>0.99999999999999978</v>
      </c>
      <c r="J106" s="339">
        <v>2</v>
      </c>
    </row>
    <row r="109" spans="1:10" ht="13.5" thickBot="1" x14ac:dyDescent="0.25">
      <c r="A109" s="677" t="s">
        <v>296</v>
      </c>
      <c r="B109" s="678"/>
      <c r="C109" s="679"/>
      <c r="D109" s="680"/>
      <c r="E109" s="680"/>
      <c r="F109" s="680"/>
      <c r="G109" s="680"/>
      <c r="H109" s="680"/>
    </row>
    <row r="110" spans="1:10" x14ac:dyDescent="0.2">
      <c r="A110" s="216" t="s">
        <v>19</v>
      </c>
      <c r="B110" s="689" t="s">
        <v>20</v>
      </c>
      <c r="C110" s="671" t="s">
        <v>21</v>
      </c>
      <c r="D110" s="672" t="s">
        <v>22</v>
      </c>
      <c r="E110" s="672" t="s">
        <v>21</v>
      </c>
      <c r="F110" s="672" t="s">
        <v>23</v>
      </c>
      <c r="G110" s="672" t="s">
        <v>24</v>
      </c>
      <c r="H110" s="672" t="s">
        <v>21</v>
      </c>
    </row>
    <row r="111" spans="1:10" x14ac:dyDescent="0.2">
      <c r="A111" s="217" t="s">
        <v>25</v>
      </c>
      <c r="B111" s="690">
        <f>+'AR - Market 1'!B111+'AR - Market 2'!B110</f>
        <v>2135660.6999999997</v>
      </c>
      <c r="C111" s="221">
        <f t="shared" ref="C111:C118" si="33">B111/$B$118</f>
        <v>0.57823389136552428</v>
      </c>
      <c r="D111" s="690">
        <f>+'AR - Market 1'!D111+'AR - Market 2'!D110</f>
        <v>16260.28</v>
      </c>
      <c r="E111" s="224">
        <f t="shared" ref="E111:E118" si="34">D111/$D$118</f>
        <v>1.4568960359150764E-2</v>
      </c>
      <c r="F111" s="690">
        <f>+'AR - Market 1'!F111+'AR - Market 2'!F110</f>
        <v>7460.44</v>
      </c>
      <c r="G111" s="690">
        <f>+'AR - Market 1'!G111+'AR - Market 2'!G110</f>
        <v>2151920.98</v>
      </c>
      <c r="H111" s="224">
        <f t="shared" ref="H111:H118" si="35">G111/$G$118</f>
        <v>0.44743032865155707</v>
      </c>
      <c r="J111" s="339">
        <v>0.93392442269193809</v>
      </c>
    </row>
    <row r="112" spans="1:10" x14ac:dyDescent="0.2">
      <c r="A112" s="217" t="s">
        <v>26</v>
      </c>
      <c r="B112" s="690">
        <f>+'AR - Market 1'!B112+'AR - Market 2'!B111</f>
        <v>614057.30000000005</v>
      </c>
      <c r="C112" s="221">
        <f t="shared" si="33"/>
        <v>0.16625709416313522</v>
      </c>
      <c r="D112" s="690">
        <f>+'AR - Market 1'!D112+'AR - Market 2'!D111</f>
        <v>121629.13999999998</v>
      </c>
      <c r="E112" s="224">
        <f t="shared" si="34"/>
        <v>0.10897783550944992</v>
      </c>
      <c r="F112" s="690">
        <f>+'AR - Market 1'!F112+'AR - Market 2'!F111</f>
        <v>3520.8500000000004</v>
      </c>
      <c r="G112" s="690">
        <f>+'AR - Market 1'!G112+'AR - Market 2'!G111</f>
        <v>735686.44</v>
      </c>
      <c r="H112" s="224">
        <f t="shared" si="35"/>
        <v>0.15296492236145864</v>
      </c>
      <c r="J112" s="339">
        <v>0.33290842597529396</v>
      </c>
    </row>
    <row r="113" spans="1:10" x14ac:dyDescent="0.2">
      <c r="A113" s="217" t="s">
        <v>27</v>
      </c>
      <c r="B113" s="690">
        <f>+'AR - Market 1'!B113+'AR - Market 2'!B112</f>
        <v>258197.84</v>
      </c>
      <c r="C113" s="221">
        <f t="shared" si="33"/>
        <v>6.9907519375794591E-2</v>
      </c>
      <c r="D113" s="690">
        <f>+'AR - Market 1'!D113+'AR - Market 2'!D112</f>
        <v>62584.45</v>
      </c>
      <c r="E113" s="224">
        <f t="shared" si="34"/>
        <v>5.6074702966323643E-2</v>
      </c>
      <c r="F113" s="690">
        <f>+'AR - Market 1'!F113+'AR - Market 2'!F112</f>
        <v>5522.37</v>
      </c>
      <c r="G113" s="690">
        <f>+'AR - Market 1'!G113+'AR - Market 2'!G112</f>
        <v>320782.29000000004</v>
      </c>
      <c r="H113" s="224">
        <f t="shared" si="35"/>
        <v>6.6697488789899298E-2</v>
      </c>
      <c r="J113" s="339">
        <v>0.17177791304302514</v>
      </c>
    </row>
    <row r="114" spans="1:10" x14ac:dyDescent="0.2">
      <c r="A114" s="217" t="s">
        <v>28</v>
      </c>
      <c r="B114" s="690">
        <f>+'AR - Market 1'!B114+'AR - Market 2'!B113</f>
        <v>132942.87</v>
      </c>
      <c r="C114" s="221">
        <f t="shared" si="33"/>
        <v>3.599451591228936E-2</v>
      </c>
      <c r="D114" s="690">
        <f>+'AR - Market 1'!D114+'AR - Market 2'!D113</f>
        <v>76829.959999999992</v>
      </c>
      <c r="E114" s="224">
        <f t="shared" si="34"/>
        <v>6.8838460446876609E-2</v>
      </c>
      <c r="F114" s="690">
        <f>+'AR - Market 1'!F114+'AR - Market 2'!F113</f>
        <v>6342.07</v>
      </c>
      <c r="G114" s="690">
        <f>+'AR - Market 1'!G114+'AR - Market 2'!G113</f>
        <v>209772.83</v>
      </c>
      <c r="H114" s="224">
        <f t="shared" si="35"/>
        <v>4.3616251312846632E-2</v>
      </c>
      <c r="J114" s="339">
        <v>8.9145967057564252E-2</v>
      </c>
    </row>
    <row r="115" spans="1:10" x14ac:dyDescent="0.2">
      <c r="A115" s="217" t="s">
        <v>151</v>
      </c>
      <c r="B115" s="690">
        <f>+'AR - Market 1'!B115+'AR - Market 2'!B114</f>
        <v>119682.57</v>
      </c>
      <c r="C115" s="221">
        <f t="shared" si="33"/>
        <v>3.2404266361096952E-2</v>
      </c>
      <c r="D115" s="690">
        <f>+'AR - Market 1'!D115+'AR - Market 2'!D114</f>
        <v>121187.2</v>
      </c>
      <c r="E115" s="224">
        <f t="shared" si="34"/>
        <v>0.10858186407838459</v>
      </c>
      <c r="F115" s="690">
        <f>+'AR - Market 1'!F115+'AR - Market 2'!F114</f>
        <v>5651.04</v>
      </c>
      <c r="G115" s="690">
        <f>+'AR - Market 1'!G115+'AR - Market 2'!G114</f>
        <v>240869.77</v>
      </c>
      <c r="H115" s="224">
        <f t="shared" si="35"/>
        <v>5.0081969252107464E-2</v>
      </c>
      <c r="J115" s="339">
        <v>6.0132685033882173E-2</v>
      </c>
    </row>
    <row r="116" spans="1:10" x14ac:dyDescent="0.2">
      <c r="A116" s="217" t="s">
        <v>152</v>
      </c>
      <c r="B116" s="690">
        <f>+'AR - Market 1'!B116+'AR - Market 2'!B115</f>
        <v>79222.740000000005</v>
      </c>
      <c r="C116" s="221">
        <f t="shared" si="33"/>
        <v>2.1449696215714034E-2</v>
      </c>
      <c r="D116" s="690">
        <f>+'AR - Market 1'!D116+'AR - Market 2'!D115</f>
        <v>116047.62</v>
      </c>
      <c r="E116" s="224">
        <f t="shared" si="34"/>
        <v>0.10397687958348757</v>
      </c>
      <c r="F116" s="690">
        <f>+'AR - Market 1'!F116+'AR - Market 2'!F115</f>
        <v>38687.370000000003</v>
      </c>
      <c r="G116" s="690">
        <f>+'AR - Market 1'!G116+'AR - Market 2'!G115</f>
        <v>195270.36000000002</v>
      </c>
      <c r="H116" s="224">
        <f t="shared" si="35"/>
        <v>4.0600878081828023E-2</v>
      </c>
      <c r="J116" s="339">
        <v>5.0129319843451668E-2</v>
      </c>
    </row>
    <row r="117" spans="1:10" ht="13.5" thickBot="1" x14ac:dyDescent="0.25">
      <c r="A117" s="226" t="s">
        <v>153</v>
      </c>
      <c r="B117" s="691">
        <f>+'AR - Market 1'!B117+'AR - Market 2'!B116</f>
        <v>353656.12</v>
      </c>
      <c r="C117" s="228">
        <f t="shared" si="33"/>
        <v>9.5753016606445418E-2</v>
      </c>
      <c r="D117" s="691">
        <f>+'AR - Market 1'!D117+'AR - Market 2'!D116</f>
        <v>601551.97</v>
      </c>
      <c r="E117" s="229">
        <f t="shared" si="34"/>
        <v>0.5389812970563268</v>
      </c>
      <c r="F117" s="691">
        <f>+'AR - Market 1'!F117+'AR - Market 2'!F116</f>
        <v>46176.98</v>
      </c>
      <c r="G117" s="691">
        <f>+'AR - Market 1'!G117+'AR - Market 2'!G116</f>
        <v>955208.09</v>
      </c>
      <c r="H117" s="229">
        <f t="shared" si="35"/>
        <v>0.19860816155030289</v>
      </c>
      <c r="J117" s="339">
        <v>0.36198126635484473</v>
      </c>
    </row>
    <row r="118" spans="1:10" ht="13.5" thickBot="1" x14ac:dyDescent="0.25">
      <c r="A118" s="232" t="s">
        <v>24</v>
      </c>
      <c r="B118" s="692">
        <f>+'AR - Market 1'!B118+'AR - Market 2'!B117</f>
        <v>3693420.14</v>
      </c>
      <c r="C118" s="234">
        <f t="shared" si="33"/>
        <v>1</v>
      </c>
      <c r="D118" s="692">
        <f>+'AR - Market 1'!D118+'AR - Market 2'!D117</f>
        <v>1116090.6200000001</v>
      </c>
      <c r="E118" s="235">
        <f t="shared" si="34"/>
        <v>1</v>
      </c>
      <c r="F118" s="692">
        <f>+'AR - Market 1'!F118+'AR - Market 2'!F117</f>
        <v>113361.12000000001</v>
      </c>
      <c r="G118" s="692">
        <f>+'AR - Market 1'!G118+'AR - Market 2'!G117</f>
        <v>4809510.76</v>
      </c>
      <c r="H118" s="235">
        <f t="shared" si="35"/>
        <v>1</v>
      </c>
      <c r="J118" s="339">
        <v>2</v>
      </c>
    </row>
    <row r="121" spans="1:10" ht="13.5" thickBot="1" x14ac:dyDescent="0.25">
      <c r="A121" s="677" t="s">
        <v>295</v>
      </c>
      <c r="B121" s="678"/>
      <c r="C121" s="679"/>
      <c r="D121" s="680"/>
      <c r="E121" s="680"/>
      <c r="F121" s="680"/>
      <c r="G121" s="680"/>
      <c r="H121" s="680"/>
    </row>
    <row r="122" spans="1:10" x14ac:dyDescent="0.2">
      <c r="A122" s="216" t="s">
        <v>19</v>
      </c>
      <c r="B122" s="689" t="s">
        <v>20</v>
      </c>
      <c r="C122" s="671" t="s">
        <v>21</v>
      </c>
      <c r="D122" s="672" t="s">
        <v>22</v>
      </c>
      <c r="E122" s="672" t="s">
        <v>21</v>
      </c>
      <c r="F122" s="672" t="s">
        <v>23</v>
      </c>
      <c r="G122" s="672" t="s">
        <v>24</v>
      </c>
      <c r="H122" s="672" t="s">
        <v>21</v>
      </c>
    </row>
    <row r="123" spans="1:10" x14ac:dyDescent="0.2">
      <c r="A123" s="217" t="s">
        <v>25</v>
      </c>
      <c r="B123" s="690">
        <f>+'AR - Market 1'!B123+'AR - Market 2'!B122</f>
        <v>2461707.8000000003</v>
      </c>
      <c r="C123" s="221">
        <f>B123/$B$130</f>
        <v>0.62635593244855747</v>
      </c>
      <c r="D123" s="690">
        <f>+'AR - Market 1'!D123+'AR - Market 2'!D122</f>
        <v>49694.03</v>
      </c>
      <c r="E123" s="224">
        <f>D123/$D$130</f>
        <v>4.201321730588424E-2</v>
      </c>
      <c r="F123" s="690">
        <f>+'AR - Market 1'!F123+'AR - Market 2'!F122</f>
        <v>-87930.41</v>
      </c>
      <c r="G123" s="690">
        <f>+'AR - Market 1'!G123+'AR - Market 2'!G122</f>
        <v>2511401.83</v>
      </c>
      <c r="H123" s="224">
        <f>G123/$G$130</f>
        <v>0.49117731363126615</v>
      </c>
      <c r="J123" s="339">
        <v>0.93392442269193809</v>
      </c>
    </row>
    <row r="124" spans="1:10" x14ac:dyDescent="0.2">
      <c r="A124" s="217" t="s">
        <v>26</v>
      </c>
      <c r="B124" s="690">
        <f>+'AR - Market 1'!B124+'AR - Market 2'!B123</f>
        <v>611722.78</v>
      </c>
      <c r="C124" s="221">
        <f t="shared" ref="C124:C130" si="36">B124/$B$130</f>
        <v>0.15564649560233093</v>
      </c>
      <c r="D124" s="690">
        <f>+'AR - Market 1'!D124+'AR - Market 2'!D123</f>
        <v>110504.84</v>
      </c>
      <c r="E124" s="224">
        <f t="shared" ref="E124:E130" si="37">D124/$D$130</f>
        <v>9.3424981960045686E-2</v>
      </c>
      <c r="F124" s="690">
        <f>+'AR - Market 1'!F124+'AR - Market 2'!F123</f>
        <v>-119804.48</v>
      </c>
      <c r="G124" s="690">
        <f>+'AR - Market 1'!G124+'AR - Market 2'!G123</f>
        <v>722227.62</v>
      </c>
      <c r="H124" s="224">
        <f t="shared" ref="H124:H130" si="38">G124/$G$130</f>
        <v>0.14125251402795344</v>
      </c>
      <c r="J124" s="339">
        <v>0.33290842597529396</v>
      </c>
    </row>
    <row r="125" spans="1:10" x14ac:dyDescent="0.2">
      <c r="A125" s="217" t="s">
        <v>27</v>
      </c>
      <c r="B125" s="690">
        <f>+'AR - Market 1'!B125+'AR - Market 2'!B124</f>
        <v>228174.79</v>
      </c>
      <c r="C125" s="221">
        <f t="shared" si="36"/>
        <v>5.8056700860964802E-2</v>
      </c>
      <c r="D125" s="690">
        <f>+'AR - Market 1'!D125+'AR - Market 2'!D124</f>
        <v>78458.849999999991</v>
      </c>
      <c r="E125" s="224">
        <f t="shared" si="37"/>
        <v>6.6332086864755696E-2</v>
      </c>
      <c r="F125" s="690">
        <f>+'AR - Market 1'!F125+'AR - Market 2'!F124</f>
        <v>-113455.76</v>
      </c>
      <c r="G125" s="690">
        <f>+'AR - Market 1'!G125+'AR - Market 2'!G124</f>
        <v>306633.64</v>
      </c>
      <c r="H125" s="224">
        <f t="shared" si="38"/>
        <v>5.9971082988410807E-2</v>
      </c>
      <c r="J125" s="339">
        <v>0.17177791304302514</v>
      </c>
    </row>
    <row r="126" spans="1:10" x14ac:dyDescent="0.2">
      <c r="A126" s="217" t="s">
        <v>28</v>
      </c>
      <c r="B126" s="690">
        <f>+'AR - Market 1'!B126+'AR - Market 2'!B125</f>
        <v>130031.90999999999</v>
      </c>
      <c r="C126" s="221">
        <f t="shared" si="36"/>
        <v>3.3085266348880593E-2</v>
      </c>
      <c r="D126" s="690">
        <f>+'AR - Market 1'!D126+'AR - Market 2'!D125</f>
        <v>134783.85</v>
      </c>
      <c r="E126" s="224">
        <f t="shared" si="37"/>
        <v>0.11395137764785239</v>
      </c>
      <c r="F126" s="690">
        <f>+'AR - Market 1'!F126+'AR - Market 2'!F125</f>
        <v>-39475.21</v>
      </c>
      <c r="G126" s="690">
        <f>+'AR - Market 1'!G126+'AR - Market 2'!G125</f>
        <v>264815.76</v>
      </c>
      <c r="H126" s="224">
        <f t="shared" si="38"/>
        <v>5.1792386248289912E-2</v>
      </c>
      <c r="J126" s="339">
        <v>8.9145967057564252E-2</v>
      </c>
    </row>
    <row r="127" spans="1:10" x14ac:dyDescent="0.2">
      <c r="A127" s="217" t="s">
        <v>151</v>
      </c>
      <c r="B127" s="690">
        <f>+'AR - Market 1'!B127+'AR - Market 2'!B126</f>
        <v>93972.01</v>
      </c>
      <c r="C127" s="221">
        <f t="shared" si="36"/>
        <v>2.3910200043894388E-2</v>
      </c>
      <c r="D127" s="690">
        <f>+'AR - Market 1'!D127+'AR - Market 2'!D126</f>
        <v>123520.63</v>
      </c>
      <c r="E127" s="224">
        <f t="shared" si="37"/>
        <v>0.10442902437072873</v>
      </c>
      <c r="F127" s="690">
        <f>+'AR - Market 1'!F127+'AR - Market 2'!F126</f>
        <v>-54728.01</v>
      </c>
      <c r="G127" s="690">
        <f>+'AR - Market 1'!G127+'AR - Market 2'!G126</f>
        <v>217492.63999999998</v>
      </c>
      <c r="H127" s="224">
        <f t="shared" si="38"/>
        <v>4.2536980491796508E-2</v>
      </c>
      <c r="J127" s="339">
        <v>6.0132685033882173E-2</v>
      </c>
    </row>
    <row r="128" spans="1:10" x14ac:dyDescent="0.2">
      <c r="A128" s="217" t="s">
        <v>152</v>
      </c>
      <c r="B128" s="690">
        <f>+'AR - Market 1'!B128+'AR - Market 2'!B127</f>
        <v>77611.759999999995</v>
      </c>
      <c r="C128" s="221">
        <f t="shared" si="36"/>
        <v>1.9747504681007895E-2</v>
      </c>
      <c r="D128" s="690">
        <f>+'AR - Market 1'!D128+'AR - Market 2'!D127</f>
        <v>131307.43</v>
      </c>
      <c r="E128" s="224">
        <f t="shared" si="37"/>
        <v>0.11101228035776498</v>
      </c>
      <c r="F128" s="690">
        <f>+'AR - Market 1'!F128+'AR - Market 2'!F127</f>
        <v>-18304.449999999997</v>
      </c>
      <c r="G128" s="690">
        <f>+'AR - Market 1'!G128+'AR - Market 2'!G127</f>
        <v>208919.19</v>
      </c>
      <c r="H128" s="224">
        <f t="shared" si="38"/>
        <v>4.0860194208833592E-2</v>
      </c>
      <c r="J128" s="339">
        <v>5.0129319843451668E-2</v>
      </c>
    </row>
    <row r="129" spans="1:10" ht="13.5" thickBot="1" x14ac:dyDescent="0.25">
      <c r="A129" s="226" t="s">
        <v>153</v>
      </c>
      <c r="B129" s="691">
        <f>+'AR - Market 1'!B129+'AR - Market 2'!B128</f>
        <v>326984.88</v>
      </c>
      <c r="C129" s="228">
        <f t="shared" si="36"/>
        <v>8.3197900014363863E-2</v>
      </c>
      <c r="D129" s="691">
        <f>+'AR - Market 1'!D129+'AR - Market 2'!D128</f>
        <v>554549.32999999996</v>
      </c>
      <c r="E129" s="229">
        <f t="shared" si="37"/>
        <v>0.46883703149296829</v>
      </c>
      <c r="F129" s="691">
        <f>+'AR - Market 1'!F129+'AR - Market 2'!F128</f>
        <v>-106153.28</v>
      </c>
      <c r="G129" s="691">
        <f>+'AR - Market 1'!G129+'AR - Market 2'!G128</f>
        <v>881534.20999999985</v>
      </c>
      <c r="H129" s="229">
        <f t="shared" si="38"/>
        <v>0.17240952840344961</v>
      </c>
      <c r="J129" s="339">
        <v>0.36198126635484473</v>
      </c>
    </row>
    <row r="130" spans="1:10" ht="13.5" thickBot="1" x14ac:dyDescent="0.25">
      <c r="A130" s="232" t="s">
        <v>24</v>
      </c>
      <c r="B130" s="692">
        <f>+'AR - Market 1'!B130+'AR - Market 2'!B129</f>
        <v>3930205.9300000006</v>
      </c>
      <c r="C130" s="234">
        <f t="shared" si="36"/>
        <v>1</v>
      </c>
      <c r="D130" s="692">
        <f>+'AR - Market 1'!D130+'AR - Market 2'!D129</f>
        <v>1182818.96</v>
      </c>
      <c r="E130" s="235">
        <f t="shared" si="37"/>
        <v>1</v>
      </c>
      <c r="F130" s="692">
        <f>+'AR - Market 1'!F130+'AR - Market 2'!F129</f>
        <v>-539851.6</v>
      </c>
      <c r="G130" s="692">
        <f>+'AR - Market 1'!G130+'AR - Market 2'!G129</f>
        <v>5113024.8899999997</v>
      </c>
      <c r="H130" s="235">
        <f t="shared" si="38"/>
        <v>1</v>
      </c>
      <c r="J130" s="339">
        <v>2</v>
      </c>
    </row>
    <row r="133" spans="1:10" ht="13.5" thickBot="1" x14ac:dyDescent="0.25">
      <c r="A133" s="677" t="s">
        <v>291</v>
      </c>
      <c r="B133" s="678"/>
      <c r="C133" s="679"/>
      <c r="D133" s="680"/>
      <c r="E133" s="680"/>
      <c r="F133" s="680"/>
      <c r="G133" s="680"/>
      <c r="H133" s="680"/>
    </row>
    <row r="134" spans="1:10" x14ac:dyDescent="0.2">
      <c r="A134" s="216" t="s">
        <v>19</v>
      </c>
      <c r="B134" s="689" t="s">
        <v>20</v>
      </c>
      <c r="C134" s="671" t="s">
        <v>21</v>
      </c>
      <c r="D134" s="672" t="s">
        <v>22</v>
      </c>
      <c r="E134" s="672" t="s">
        <v>21</v>
      </c>
      <c r="F134" s="672" t="s">
        <v>23</v>
      </c>
      <c r="G134" s="672" t="s">
        <v>24</v>
      </c>
      <c r="H134" s="672" t="s">
        <v>21</v>
      </c>
    </row>
    <row r="135" spans="1:10" x14ac:dyDescent="0.2">
      <c r="A135" s="217" t="s">
        <v>25</v>
      </c>
      <c r="B135" s="690">
        <v>3062468.89</v>
      </c>
      <c r="C135" s="221">
        <f>B135/$B$142</f>
        <v>0.6598542549534594</v>
      </c>
      <c r="D135" s="690">
        <v>21454.690000000002</v>
      </c>
      <c r="E135" s="224">
        <f>D135/$D$142</f>
        <v>1.8137458867508099E-2</v>
      </c>
      <c r="F135" s="690">
        <v>-31382.38</v>
      </c>
      <c r="G135" s="687">
        <v>3083923.58</v>
      </c>
      <c r="H135" s="224">
        <f>G135/$G$142</f>
        <v>0.52951773703359861</v>
      </c>
      <c r="J135" s="339">
        <v>0.93392442269193809</v>
      </c>
    </row>
    <row r="136" spans="1:10" x14ac:dyDescent="0.2">
      <c r="A136" s="217" t="s">
        <v>26</v>
      </c>
      <c r="B136" s="690">
        <v>624532.73</v>
      </c>
      <c r="C136" s="221">
        <f t="shared" ref="C136:C142" si="39">B136/$B$142</f>
        <v>0.13456482140727966</v>
      </c>
      <c r="D136" s="690">
        <v>141158.33000000002</v>
      </c>
      <c r="E136" s="224">
        <f t="shared" ref="E136:E142" si="40">D136/$D$142</f>
        <v>0.11933304112905543</v>
      </c>
      <c r="F136" s="690">
        <v>-7037.29</v>
      </c>
      <c r="G136" s="687">
        <v>765691.06</v>
      </c>
      <c r="H136" s="224">
        <f t="shared" ref="H136:H142" si="41">G136/$G$142</f>
        <v>0.13147115576646595</v>
      </c>
      <c r="J136" s="339">
        <v>0.33290842597529396</v>
      </c>
    </row>
    <row r="137" spans="1:10" x14ac:dyDescent="0.2">
      <c r="A137" s="217" t="s">
        <v>27</v>
      </c>
      <c r="B137" s="690">
        <v>255218.1</v>
      </c>
      <c r="C137" s="221">
        <f t="shared" si="39"/>
        <v>5.4990517544861492E-2</v>
      </c>
      <c r="D137" s="690">
        <v>87438.7</v>
      </c>
      <c r="E137" s="224">
        <f t="shared" si="40"/>
        <v>7.3919307371879073E-2</v>
      </c>
      <c r="F137" s="690">
        <v>-6298.23</v>
      </c>
      <c r="G137" s="687">
        <v>342656.8</v>
      </c>
      <c r="H137" s="224">
        <f t="shared" si="41"/>
        <v>5.8835067928361039E-2</v>
      </c>
      <c r="J137" s="339">
        <v>0.17177791304302514</v>
      </c>
    </row>
    <row r="138" spans="1:10" x14ac:dyDescent="0.2">
      <c r="A138" s="217" t="s">
        <v>28</v>
      </c>
      <c r="B138" s="690">
        <v>186142.44</v>
      </c>
      <c r="C138" s="221">
        <f t="shared" si="39"/>
        <v>4.0107144096219377E-2</v>
      </c>
      <c r="D138" s="690">
        <v>117173.15</v>
      </c>
      <c r="E138" s="224">
        <f t="shared" si="40"/>
        <v>9.9056345652225972E-2</v>
      </c>
      <c r="F138" s="690">
        <v>-8562.2800000000007</v>
      </c>
      <c r="G138" s="687">
        <v>303315.58999999997</v>
      </c>
      <c r="H138" s="224">
        <f t="shared" si="41"/>
        <v>5.208007937207406E-2</v>
      </c>
      <c r="J138" s="339">
        <v>8.9145967057564252E-2</v>
      </c>
    </row>
    <row r="139" spans="1:10" x14ac:dyDescent="0.2">
      <c r="A139" s="217" t="s">
        <v>151</v>
      </c>
      <c r="B139" s="690">
        <v>110668.77</v>
      </c>
      <c r="C139" s="221">
        <f t="shared" si="39"/>
        <v>2.3845224685683505E-2</v>
      </c>
      <c r="D139" s="690">
        <v>130603.51</v>
      </c>
      <c r="E139" s="224">
        <f t="shared" si="40"/>
        <v>0.11041016162793227</v>
      </c>
      <c r="F139" s="690">
        <v>-7756.52</v>
      </c>
      <c r="G139" s="687">
        <v>241272.28</v>
      </c>
      <c r="H139" s="224">
        <f t="shared" si="41"/>
        <v>4.142708092479281E-2</v>
      </c>
      <c r="J139" s="339">
        <v>6.0132685033882173E-2</v>
      </c>
    </row>
    <row r="140" spans="1:10" x14ac:dyDescent="0.2">
      <c r="A140" s="217" t="s">
        <v>152</v>
      </c>
      <c r="B140" s="690">
        <v>78865.459999999992</v>
      </c>
      <c r="C140" s="221">
        <f t="shared" si="39"/>
        <v>1.6992730773458354E-2</v>
      </c>
      <c r="D140" s="690">
        <v>113518.3</v>
      </c>
      <c r="E140" s="224">
        <f t="shared" si="40"/>
        <v>9.5966592710472365E-2</v>
      </c>
      <c r="F140" s="690">
        <v>-7182.88</v>
      </c>
      <c r="G140" s="687">
        <v>192383.76</v>
      </c>
      <c r="H140" s="224">
        <f t="shared" si="41"/>
        <v>3.3032794294213651E-2</v>
      </c>
      <c r="J140" s="339">
        <v>5.0129319843451668E-2</v>
      </c>
    </row>
    <row r="141" spans="1:10" ht="13.5" thickBot="1" x14ac:dyDescent="0.25">
      <c r="A141" s="226" t="s">
        <v>153</v>
      </c>
      <c r="B141" s="691">
        <v>323232.87</v>
      </c>
      <c r="C141" s="228">
        <f t="shared" si="39"/>
        <v>6.9645306539038304E-2</v>
      </c>
      <c r="D141" s="691">
        <v>571547.25</v>
      </c>
      <c r="E141" s="229">
        <f t="shared" si="40"/>
        <v>0.48317709264092684</v>
      </c>
      <c r="F141" s="691">
        <v>-39818.29</v>
      </c>
      <c r="G141" s="688">
        <v>894780.12</v>
      </c>
      <c r="H141" s="229">
        <f t="shared" si="41"/>
        <v>0.15363608468049386</v>
      </c>
      <c r="J141" s="339">
        <v>0.36198126635484473</v>
      </c>
    </row>
    <row r="142" spans="1:10" ht="13.5" thickBot="1" x14ac:dyDescent="0.25">
      <c r="A142" s="232" t="s">
        <v>24</v>
      </c>
      <c r="B142" s="692">
        <v>4641129.26</v>
      </c>
      <c r="C142" s="234">
        <f t="shared" si="39"/>
        <v>1</v>
      </c>
      <c r="D142" s="694">
        <v>1182893.93</v>
      </c>
      <c r="E142" s="235">
        <f t="shared" si="40"/>
        <v>1</v>
      </c>
      <c r="F142" s="694">
        <v>-108037.86999999998</v>
      </c>
      <c r="G142" s="692">
        <v>5824023.1900000004</v>
      </c>
      <c r="H142" s="235">
        <f t="shared" si="41"/>
        <v>1</v>
      </c>
      <c r="J142" s="339">
        <v>2</v>
      </c>
    </row>
    <row r="145" spans="1:10" ht="13.5" thickBot="1" x14ac:dyDescent="0.25">
      <c r="A145" s="677" t="s">
        <v>277</v>
      </c>
      <c r="B145" s="678"/>
      <c r="C145" s="679"/>
      <c r="D145" s="680"/>
      <c r="E145" s="680"/>
      <c r="F145" s="680"/>
      <c r="G145" s="680"/>
      <c r="H145" s="680"/>
    </row>
    <row r="146" spans="1:10" x14ac:dyDescent="0.2">
      <c r="A146" s="216" t="s">
        <v>19</v>
      </c>
      <c r="B146" s="689" t="s">
        <v>20</v>
      </c>
      <c r="C146" s="671" t="s">
        <v>21</v>
      </c>
      <c r="D146" s="672" t="s">
        <v>22</v>
      </c>
      <c r="E146" s="672" t="s">
        <v>21</v>
      </c>
      <c r="F146" s="672" t="s">
        <v>23</v>
      </c>
      <c r="G146" s="672" t="s">
        <v>24</v>
      </c>
      <c r="H146" s="672" t="s">
        <v>21</v>
      </c>
    </row>
    <row r="147" spans="1:10" x14ac:dyDescent="0.2">
      <c r="A147" s="217" t="s">
        <v>25</v>
      </c>
      <c r="B147" s="690">
        <v>2416404.9299999997</v>
      </c>
      <c r="C147" s="221">
        <f>B147/$B$154</f>
        <v>0.60415210059649005</v>
      </c>
      <c r="D147" s="687">
        <v>71182.92</v>
      </c>
      <c r="E147" s="224">
        <f>D147/$D$154</f>
        <v>5.4932805650188404E-2</v>
      </c>
      <c r="F147" s="687">
        <v>-26327.41</v>
      </c>
      <c r="G147" s="687">
        <f>B147+D147</f>
        <v>2487587.8499999996</v>
      </c>
      <c r="H147" s="224">
        <f>G147/$G$154</f>
        <v>0.4697567109122644</v>
      </c>
      <c r="J147" s="339">
        <v>0.93392442269193809</v>
      </c>
    </row>
    <row r="148" spans="1:10" x14ac:dyDescent="0.2">
      <c r="A148" s="217" t="s">
        <v>26</v>
      </c>
      <c r="B148" s="690">
        <v>678097.76</v>
      </c>
      <c r="C148" s="221">
        <f t="shared" ref="C148:C154" si="42">B148/$B$154</f>
        <v>0.16953871473593402</v>
      </c>
      <c r="D148" s="687">
        <v>156166.63</v>
      </c>
      <c r="E148" s="224">
        <f t="shared" ref="E148:E154" si="43">D148/$D$154</f>
        <v>0.12051586440728876</v>
      </c>
      <c r="F148" s="687">
        <v>-5481.6900000000005</v>
      </c>
      <c r="G148" s="687">
        <f t="shared" ref="G148:G153" si="44">B148+D148</f>
        <v>834264.39</v>
      </c>
      <c r="H148" s="224">
        <f t="shared" ref="H148:H154" si="45">G148/$G$154</f>
        <v>0.15754269577961907</v>
      </c>
      <c r="J148" s="339">
        <v>0.33290842597529396</v>
      </c>
    </row>
    <row r="149" spans="1:10" x14ac:dyDescent="0.2">
      <c r="A149" s="217" t="s">
        <v>27</v>
      </c>
      <c r="B149" s="690">
        <v>274161.31</v>
      </c>
      <c r="C149" s="221">
        <f t="shared" si="42"/>
        <v>6.8546098910163E-2</v>
      </c>
      <c r="D149" s="687">
        <v>117037.45</v>
      </c>
      <c r="E149" s="224">
        <f t="shared" si="43"/>
        <v>9.0319356028716477E-2</v>
      </c>
      <c r="F149" s="687">
        <v>-7740.9</v>
      </c>
      <c r="G149" s="687">
        <f t="shared" si="44"/>
        <v>391198.76</v>
      </c>
      <c r="H149" s="224">
        <f t="shared" si="45"/>
        <v>7.3874071547083794E-2</v>
      </c>
      <c r="J149" s="339">
        <v>0.17177791304302514</v>
      </c>
    </row>
    <row r="150" spans="1:10" x14ac:dyDescent="0.2">
      <c r="A150" s="217" t="s">
        <v>28</v>
      </c>
      <c r="B150" s="690">
        <v>174643.61</v>
      </c>
      <c r="C150" s="221">
        <f t="shared" si="42"/>
        <v>4.3664578948386011E-2</v>
      </c>
      <c r="D150" s="687">
        <v>130155.64</v>
      </c>
      <c r="E150" s="224">
        <f t="shared" si="43"/>
        <v>0.10044283764133149</v>
      </c>
      <c r="F150" s="687">
        <v>-6432.46</v>
      </c>
      <c r="G150" s="687">
        <f t="shared" si="44"/>
        <v>304799.25</v>
      </c>
      <c r="H150" s="224">
        <f t="shared" si="45"/>
        <v>5.7558366498905771E-2</v>
      </c>
      <c r="J150" s="339">
        <v>8.9145967057564252E-2</v>
      </c>
    </row>
    <row r="151" spans="1:10" x14ac:dyDescent="0.2">
      <c r="A151" s="217" t="s">
        <v>151</v>
      </c>
      <c r="B151" s="690">
        <v>87181.11</v>
      </c>
      <c r="C151" s="221">
        <f t="shared" si="42"/>
        <v>2.1797112762401819E-2</v>
      </c>
      <c r="D151" s="687">
        <v>122441.48</v>
      </c>
      <c r="E151" s="224">
        <f t="shared" si="43"/>
        <v>9.4489717819407112E-2</v>
      </c>
      <c r="F151" s="687">
        <v>-3655.63</v>
      </c>
      <c r="G151" s="687">
        <f t="shared" si="44"/>
        <v>209622.59</v>
      </c>
      <c r="H151" s="224">
        <f t="shared" si="45"/>
        <v>3.9585182252482115E-2</v>
      </c>
      <c r="J151" s="339">
        <v>6.0132685033882173E-2</v>
      </c>
    </row>
    <row r="152" spans="1:10" x14ac:dyDescent="0.2">
      <c r="A152" s="217" t="s">
        <v>152</v>
      </c>
      <c r="B152" s="690">
        <v>73306.960000000006</v>
      </c>
      <c r="C152" s="221">
        <f t="shared" si="42"/>
        <v>1.8328283195624368E-2</v>
      </c>
      <c r="D152" s="687">
        <v>104734.96</v>
      </c>
      <c r="E152" s="224">
        <f t="shared" si="43"/>
        <v>8.0825360949793257E-2</v>
      </c>
      <c r="F152" s="687">
        <v>-4092.38</v>
      </c>
      <c r="G152" s="687">
        <f t="shared" si="44"/>
        <v>178041.92</v>
      </c>
      <c r="H152" s="224">
        <f t="shared" si="45"/>
        <v>3.3621480641861365E-2</v>
      </c>
      <c r="J152" s="339">
        <v>5.0129319843451668E-2</v>
      </c>
    </row>
    <row r="153" spans="1:10" ht="13.5" thickBot="1" x14ac:dyDescent="0.25">
      <c r="A153" s="226" t="s">
        <v>153</v>
      </c>
      <c r="B153" s="691">
        <v>295867.53000000003</v>
      </c>
      <c r="C153" s="228">
        <f t="shared" si="42"/>
        <v>7.3973110851000903E-2</v>
      </c>
      <c r="D153" s="688">
        <v>594098.94999999995</v>
      </c>
      <c r="E153" s="229">
        <f t="shared" si="43"/>
        <v>0.45847405750327463</v>
      </c>
      <c r="F153" s="688">
        <v>-30369.55</v>
      </c>
      <c r="G153" s="687">
        <f t="shared" si="44"/>
        <v>889966.48</v>
      </c>
      <c r="H153" s="229">
        <f t="shared" si="45"/>
        <v>0.16806149236778337</v>
      </c>
      <c r="J153" s="339">
        <v>0.36198126635484473</v>
      </c>
    </row>
    <row r="154" spans="1:10" ht="13.5" thickBot="1" x14ac:dyDescent="0.25">
      <c r="A154" s="232" t="s">
        <v>24</v>
      </c>
      <c r="B154" s="692">
        <f>SUM(B147:B153)</f>
        <v>3999663.209999999</v>
      </c>
      <c r="C154" s="234">
        <f t="shared" si="42"/>
        <v>1</v>
      </c>
      <c r="D154" s="692">
        <f>SUM(D147:D153)</f>
        <v>1295818.0299999998</v>
      </c>
      <c r="E154" s="235">
        <f t="shared" si="43"/>
        <v>1</v>
      </c>
      <c r="F154" s="692">
        <v>-84100.01999999999</v>
      </c>
      <c r="G154" s="692">
        <f>SUM(G147:G153)</f>
        <v>5295481.24</v>
      </c>
      <c r="H154" s="235">
        <f t="shared" si="45"/>
        <v>1</v>
      </c>
      <c r="J154" s="339">
        <v>2</v>
      </c>
    </row>
    <row r="157" spans="1:10" ht="13.5" thickBot="1" x14ac:dyDescent="0.25">
      <c r="A157" s="677" t="s">
        <v>276</v>
      </c>
      <c r="B157" s="678"/>
      <c r="C157" s="679"/>
      <c r="D157" s="680"/>
      <c r="E157" s="680"/>
      <c r="F157" s="680"/>
      <c r="G157" s="680"/>
      <c r="H157" s="680"/>
    </row>
    <row r="158" spans="1:10" x14ac:dyDescent="0.2">
      <c r="A158" s="216" t="s">
        <v>19</v>
      </c>
      <c r="B158" s="218" t="s">
        <v>20</v>
      </c>
      <c r="C158" s="220" t="s">
        <v>21</v>
      </c>
      <c r="D158" s="222" t="s">
        <v>22</v>
      </c>
      <c r="E158" s="222" t="s">
        <v>21</v>
      </c>
      <c r="F158" s="222" t="s">
        <v>23</v>
      </c>
      <c r="G158" s="222" t="s">
        <v>24</v>
      </c>
      <c r="H158" s="222" t="s">
        <v>21</v>
      </c>
    </row>
    <row r="159" spans="1:10" x14ac:dyDescent="0.2">
      <c r="A159" s="217" t="s">
        <v>25</v>
      </c>
      <c r="B159" s="219">
        <v>2816984.2699999991</v>
      </c>
      <c r="C159" s="681">
        <f>B159/$B$166</f>
        <v>0.61433601238906099</v>
      </c>
      <c r="D159" s="219">
        <v>90758.91</v>
      </c>
      <c r="E159" s="681">
        <f>D159/$D$166</f>
        <v>3.0579556709635088E-2</v>
      </c>
      <c r="F159" s="219">
        <v>-26327.41</v>
      </c>
      <c r="G159" s="219">
        <v>2907743.1799999988</v>
      </c>
      <c r="H159" s="681">
        <f>G159/$G$166</f>
        <v>0.38495955524866565</v>
      </c>
      <c r="J159" s="339">
        <v>0.93392442269193809</v>
      </c>
    </row>
    <row r="160" spans="1:10" x14ac:dyDescent="0.2">
      <c r="A160" s="217" t="s">
        <v>26</v>
      </c>
      <c r="B160" s="219">
        <v>865188.58999999985</v>
      </c>
      <c r="C160" s="681">
        <f t="shared" ref="C160:C166" si="46">B160/$B$166</f>
        <v>0.18868281019727323</v>
      </c>
      <c r="D160" s="219">
        <v>200595.22000000003</v>
      </c>
      <c r="E160" s="681">
        <f t="shared" ref="E160:E166" si="47">D160/$D$166</f>
        <v>6.7586894836790437E-2</v>
      </c>
      <c r="F160" s="219">
        <v>-5481.69</v>
      </c>
      <c r="G160" s="219">
        <v>1065783.8099999998</v>
      </c>
      <c r="H160" s="681">
        <f t="shared" ref="H160:H166" si="48">G160/$G$166</f>
        <v>0.14110037788441429</v>
      </c>
      <c r="J160" s="339">
        <v>0.33290842597529396</v>
      </c>
    </row>
    <row r="161" spans="1:10" x14ac:dyDescent="0.2">
      <c r="A161" s="217" t="s">
        <v>27</v>
      </c>
      <c r="B161" s="219">
        <v>299698.36</v>
      </c>
      <c r="C161" s="681">
        <f t="shared" si="46"/>
        <v>6.5359078274846494E-2</v>
      </c>
      <c r="D161" s="219">
        <v>205185.32</v>
      </c>
      <c r="E161" s="681">
        <f t="shared" si="47"/>
        <v>6.91334451782709E-2</v>
      </c>
      <c r="F161" s="219">
        <v>-7740.9000000000005</v>
      </c>
      <c r="G161" s="219">
        <v>504883.68000000005</v>
      </c>
      <c r="H161" s="681">
        <f t="shared" si="48"/>
        <v>6.6842146941295449E-2</v>
      </c>
      <c r="J161" s="339">
        <v>0.17177791304302514</v>
      </c>
    </row>
    <row r="162" spans="1:10" x14ac:dyDescent="0.2">
      <c r="A162" s="217" t="s">
        <v>28</v>
      </c>
      <c r="B162" s="219">
        <v>141611.05000000002</v>
      </c>
      <c r="C162" s="681">
        <f t="shared" si="46"/>
        <v>3.0882944109314452E-2</v>
      </c>
      <c r="D162" s="219">
        <v>133600.76</v>
      </c>
      <c r="E162" s="681">
        <f t="shared" si="47"/>
        <v>4.5014335417540241E-2</v>
      </c>
      <c r="F162" s="219">
        <v>-6432.46</v>
      </c>
      <c r="G162" s="219">
        <v>275211.81</v>
      </c>
      <c r="H162" s="681">
        <f t="shared" si="48"/>
        <v>3.6435616702841109E-2</v>
      </c>
      <c r="J162" s="339">
        <v>8.9145967057564252E-2</v>
      </c>
    </row>
    <row r="163" spans="1:10" x14ac:dyDescent="0.2">
      <c r="A163" s="217" t="s">
        <v>151</v>
      </c>
      <c r="B163" s="219">
        <v>96384.91</v>
      </c>
      <c r="C163" s="681">
        <f t="shared" si="46"/>
        <v>2.1019897730518228E-2</v>
      </c>
      <c r="D163" s="219">
        <v>119179.52999999998</v>
      </c>
      <c r="E163" s="681">
        <f t="shared" si="47"/>
        <v>4.0155365421011072E-2</v>
      </c>
      <c r="F163" s="219">
        <v>-3655.63</v>
      </c>
      <c r="G163" s="219">
        <v>215564.44</v>
      </c>
      <c r="H163" s="681">
        <f t="shared" si="48"/>
        <v>2.8538830912098537E-2</v>
      </c>
      <c r="J163" s="339">
        <v>6.0132685033882173E-2</v>
      </c>
    </row>
    <row r="164" spans="1:10" x14ac:dyDescent="0.2">
      <c r="A164" s="217" t="s">
        <v>152</v>
      </c>
      <c r="B164" s="219">
        <v>82392.829999999987</v>
      </c>
      <c r="C164" s="681">
        <f t="shared" si="46"/>
        <v>1.7968464776571082E-2</v>
      </c>
      <c r="D164" s="219">
        <v>122330.28000000001</v>
      </c>
      <c r="E164" s="681">
        <f t="shared" si="47"/>
        <v>4.1216953074530528E-2</v>
      </c>
      <c r="F164" s="219">
        <v>-4092.38</v>
      </c>
      <c r="G164" s="219">
        <v>204723.11000000002</v>
      </c>
      <c r="H164" s="681">
        <f t="shared" si="48"/>
        <v>2.7103534423808258E-2</v>
      </c>
      <c r="J164" s="339">
        <v>5.0129319843451668E-2</v>
      </c>
    </row>
    <row r="165" spans="1:10" ht="13.5" thickBot="1" x14ac:dyDescent="0.25">
      <c r="A165" s="226" t="s">
        <v>153</v>
      </c>
      <c r="B165" s="227">
        <v>283152.88000000006</v>
      </c>
      <c r="C165" s="682">
        <f t="shared" si="46"/>
        <v>6.175079252241561E-2</v>
      </c>
      <c r="D165" s="227">
        <v>2096310.2699999998</v>
      </c>
      <c r="E165" s="682">
        <f t="shared" si="47"/>
        <v>0.70631344936222162</v>
      </c>
      <c r="F165" s="227">
        <v>-30369.55</v>
      </c>
      <c r="G165" s="227">
        <v>2379463.15</v>
      </c>
      <c r="H165" s="682">
        <f t="shared" si="48"/>
        <v>0.31501993788687671</v>
      </c>
      <c r="J165" s="339">
        <v>0.36198126635484473</v>
      </c>
    </row>
    <row r="166" spans="1:10" ht="13.5" thickBot="1" x14ac:dyDescent="0.25">
      <c r="A166" s="683" t="s">
        <v>24</v>
      </c>
      <c r="B166" s="684">
        <v>4585412.8899999987</v>
      </c>
      <c r="C166" s="685">
        <f t="shared" si="46"/>
        <v>1</v>
      </c>
      <c r="D166" s="684">
        <v>2967960.29</v>
      </c>
      <c r="E166" s="685">
        <f t="shared" si="47"/>
        <v>1</v>
      </c>
      <c r="F166" s="684">
        <v>-84100.01999999999</v>
      </c>
      <c r="G166" s="684">
        <v>7553373.1799999988</v>
      </c>
      <c r="H166" s="686">
        <f t="shared" si="48"/>
        <v>1</v>
      </c>
      <c r="J166" s="339">
        <v>2</v>
      </c>
    </row>
    <row r="169" spans="1:10" x14ac:dyDescent="0.2">
      <c r="A169" s="677" t="s">
        <v>145</v>
      </c>
      <c r="B169" s="678"/>
      <c r="C169" s="679"/>
      <c r="D169" s="680"/>
      <c r="E169" s="680"/>
      <c r="F169" s="680"/>
      <c r="G169" s="680"/>
      <c r="H169" s="680"/>
    </row>
    <row r="170" spans="1:10" x14ac:dyDescent="0.2">
      <c r="A170" s="676" t="s">
        <v>19</v>
      </c>
      <c r="B170" s="670" t="s">
        <v>20</v>
      </c>
      <c r="C170" s="671" t="s">
        <v>21</v>
      </c>
      <c r="D170" s="672" t="s">
        <v>22</v>
      </c>
      <c r="E170" s="672" t="s">
        <v>21</v>
      </c>
      <c r="F170" s="672" t="s">
        <v>23</v>
      </c>
      <c r="G170" s="672" t="s">
        <v>24</v>
      </c>
      <c r="H170" s="672" t="s">
        <v>21</v>
      </c>
    </row>
    <row r="171" spans="1:10" x14ac:dyDescent="0.2">
      <c r="A171" s="217" t="s">
        <v>25</v>
      </c>
      <c r="B171" s="219">
        <f>+'AR - Market 1'!B147+'AR - Market 2'!B146</f>
        <v>2416404.9299999997</v>
      </c>
      <c r="C171" s="221">
        <f>B171/$B$178</f>
        <v>0.52697652053749955</v>
      </c>
      <c r="D171" s="219">
        <v>90758.91</v>
      </c>
      <c r="E171" s="224">
        <f>D171/$D$178</f>
        <v>3.0579556709635088E-2</v>
      </c>
      <c r="F171" s="223">
        <v>-26327.41</v>
      </c>
      <c r="G171" s="223">
        <v>2907743.1799999988</v>
      </c>
      <c r="H171" s="224">
        <f>G171/$G$178</f>
        <v>0.38495955524866565</v>
      </c>
      <c r="J171" s="339">
        <v>0.93392442269193809</v>
      </c>
    </row>
    <row r="172" spans="1:10" x14ac:dyDescent="0.2">
      <c r="A172" s="217" t="s">
        <v>26</v>
      </c>
      <c r="B172" s="219">
        <v>865188.58999999985</v>
      </c>
      <c r="C172" s="221">
        <f t="shared" ref="C172:C178" si="49">B172/$B$178</f>
        <v>0.18868281019727323</v>
      </c>
      <c r="D172" s="219">
        <v>200595.22000000003</v>
      </c>
      <c r="E172" s="224">
        <f t="shared" ref="E172:E177" si="50">D172/$D$178</f>
        <v>6.7586894836790437E-2</v>
      </c>
      <c r="F172" s="225">
        <v>-5481.69</v>
      </c>
      <c r="G172" s="223">
        <v>1065783.8099999998</v>
      </c>
      <c r="H172" s="224">
        <f t="shared" ref="H172:H177" si="51">G172/$G$178</f>
        <v>0.14110037788441429</v>
      </c>
      <c r="J172" s="339">
        <v>0.33290842597529396</v>
      </c>
    </row>
    <row r="173" spans="1:10" x14ac:dyDescent="0.2">
      <c r="A173" s="217" t="s">
        <v>27</v>
      </c>
      <c r="B173" s="219">
        <v>299698.36</v>
      </c>
      <c r="C173" s="221">
        <f t="shared" si="49"/>
        <v>6.5359078274846494E-2</v>
      </c>
      <c r="D173" s="223">
        <v>205185.32</v>
      </c>
      <c r="E173" s="224">
        <f t="shared" si="50"/>
        <v>6.91334451782709E-2</v>
      </c>
      <c r="F173" s="225">
        <v>-7740.9000000000005</v>
      </c>
      <c r="G173" s="223">
        <v>504883.68000000005</v>
      </c>
      <c r="H173" s="224">
        <f t="shared" si="51"/>
        <v>6.6842146941295449E-2</v>
      </c>
      <c r="J173" s="339">
        <v>0.17177791304302514</v>
      </c>
    </row>
    <row r="174" spans="1:10" x14ac:dyDescent="0.2">
      <c r="A174" s="217" t="s">
        <v>28</v>
      </c>
      <c r="B174" s="219">
        <v>141611.05000000002</v>
      </c>
      <c r="C174" s="221">
        <f t="shared" si="49"/>
        <v>3.0882944109314452E-2</v>
      </c>
      <c r="D174" s="223">
        <v>133600.76</v>
      </c>
      <c r="E174" s="224">
        <f t="shared" si="50"/>
        <v>4.5014335417540241E-2</v>
      </c>
      <c r="F174" s="225">
        <v>-6432.46</v>
      </c>
      <c r="G174" s="223">
        <v>275211.81</v>
      </c>
      <c r="H174" s="224">
        <f t="shared" si="51"/>
        <v>3.6435616702841109E-2</v>
      </c>
      <c r="J174" s="339">
        <v>8.9145967057564252E-2</v>
      </c>
    </row>
    <row r="175" spans="1:10" x14ac:dyDescent="0.2">
      <c r="A175" s="217" t="s">
        <v>151</v>
      </c>
      <c r="B175" s="219">
        <v>96384.91</v>
      </c>
      <c r="C175" s="221">
        <f t="shared" si="49"/>
        <v>2.1019897730518228E-2</v>
      </c>
      <c r="D175" s="219">
        <v>119179.52999999998</v>
      </c>
      <c r="E175" s="224">
        <f t="shared" si="50"/>
        <v>4.0155365421011072E-2</v>
      </c>
      <c r="F175" s="225">
        <v>-3655.63</v>
      </c>
      <c r="G175" s="223">
        <v>215564.44</v>
      </c>
      <c r="H175" s="224">
        <f t="shared" si="51"/>
        <v>2.8538830912098537E-2</v>
      </c>
      <c r="J175" s="339">
        <v>6.0132685033882173E-2</v>
      </c>
    </row>
    <row r="176" spans="1:10" x14ac:dyDescent="0.2">
      <c r="A176" s="217" t="s">
        <v>152</v>
      </c>
      <c r="B176" s="219">
        <v>82392.829999999987</v>
      </c>
      <c r="C176" s="221">
        <f t="shared" si="49"/>
        <v>1.7968464776571082E-2</v>
      </c>
      <c r="D176" s="219">
        <v>122330.28000000001</v>
      </c>
      <c r="E176" s="224">
        <f t="shared" si="50"/>
        <v>4.1216953074530528E-2</v>
      </c>
      <c r="F176" s="225">
        <v>-4092.38</v>
      </c>
      <c r="G176" s="223">
        <v>204723.11000000002</v>
      </c>
      <c r="H176" s="224">
        <f t="shared" si="51"/>
        <v>2.7103534423808258E-2</v>
      </c>
      <c r="J176" s="339">
        <v>5.0129319843451668E-2</v>
      </c>
    </row>
    <row r="177" spans="1:10" ht="13.5" thickBot="1" x14ac:dyDescent="0.25">
      <c r="A177" s="226" t="s">
        <v>153</v>
      </c>
      <c r="B177" s="227">
        <v>283152.88000000006</v>
      </c>
      <c r="C177" s="228">
        <f t="shared" si="49"/>
        <v>6.175079252241561E-2</v>
      </c>
      <c r="D177" s="227">
        <v>2096310.2699999998</v>
      </c>
      <c r="E177" s="229">
        <f t="shared" si="50"/>
        <v>0.70631344936222162</v>
      </c>
      <c r="F177" s="230">
        <v>-30369.55</v>
      </c>
      <c r="G177" s="231">
        <v>2379463.15</v>
      </c>
      <c r="H177" s="229">
        <f t="shared" si="51"/>
        <v>0.31501993788687671</v>
      </c>
      <c r="J177" s="339">
        <v>0.36198126635484473</v>
      </c>
    </row>
    <row r="178" spans="1:10" ht="13.5" thickBot="1" x14ac:dyDescent="0.25">
      <c r="A178" s="232" t="s">
        <v>24</v>
      </c>
      <c r="B178" s="233">
        <v>4585412.8899999987</v>
      </c>
      <c r="C178" s="234">
        <f t="shared" si="49"/>
        <v>1</v>
      </c>
      <c r="D178" s="233">
        <v>2967960.29</v>
      </c>
      <c r="E178" s="235">
        <v>1</v>
      </c>
      <c r="F178" s="236">
        <v>-84100.01999999999</v>
      </c>
      <c r="G178" s="236">
        <v>7553373.1799999988</v>
      </c>
      <c r="H178" s="235">
        <f>G178/$G$178</f>
        <v>1</v>
      </c>
      <c r="J178" s="339">
        <v>2</v>
      </c>
    </row>
    <row r="180" spans="1:10" ht="13.5" thickBot="1" x14ac:dyDescent="0.25">
      <c r="A180" s="22" t="s">
        <v>144</v>
      </c>
    </row>
    <row r="181" spans="1:10" x14ac:dyDescent="0.2">
      <c r="A181" s="216" t="s">
        <v>19</v>
      </c>
      <c r="B181" s="218" t="s">
        <v>20</v>
      </c>
      <c r="C181" s="220" t="s">
        <v>21</v>
      </c>
      <c r="D181" s="222" t="s">
        <v>22</v>
      </c>
      <c r="E181" s="222" t="s">
        <v>21</v>
      </c>
      <c r="F181" s="222" t="s">
        <v>23</v>
      </c>
      <c r="G181" s="222" t="s">
        <v>24</v>
      </c>
      <c r="H181" s="222" t="s">
        <v>21</v>
      </c>
    </row>
    <row r="182" spans="1:10" x14ac:dyDescent="0.2">
      <c r="A182" s="217" t="s">
        <v>25</v>
      </c>
      <c r="B182" s="219">
        <v>2271315.2799999998</v>
      </c>
      <c r="C182" s="221">
        <f>B182/B187</f>
        <v>0.62495793228799557</v>
      </c>
      <c r="D182" s="219">
        <v>106813.57</v>
      </c>
      <c r="E182" s="224">
        <f>D182/$D187</f>
        <v>3.6864499454207257E-2</v>
      </c>
      <c r="F182" s="223">
        <v>-54285.86</v>
      </c>
      <c r="G182" s="223">
        <v>2378128.8499999996</v>
      </c>
      <c r="H182" s="224">
        <f>G182/$G$187</f>
        <v>0.36408401866548129</v>
      </c>
      <c r="J182" s="339">
        <v>0.88149769136559741</v>
      </c>
    </row>
    <row r="183" spans="1:10" x14ac:dyDescent="0.2">
      <c r="A183" s="217" t="s">
        <v>26</v>
      </c>
      <c r="B183" s="219">
        <v>583459.6</v>
      </c>
      <c r="C183" s="221">
        <f>B183/B187</f>
        <v>0.16054033026607428</v>
      </c>
      <c r="D183" s="219">
        <v>224830.22</v>
      </c>
      <c r="E183" s="224">
        <f>D183/$D187</f>
        <v>7.7595510780880145E-2</v>
      </c>
      <c r="F183" s="225">
        <v>-36722</v>
      </c>
      <c r="G183" s="223">
        <v>808289.82000000007</v>
      </c>
      <c r="H183" s="224">
        <f>G183/$G187</f>
        <v>0.12374661949540648</v>
      </c>
      <c r="J183" s="339">
        <v>0.35858467866056476</v>
      </c>
    </row>
    <row r="184" spans="1:10" x14ac:dyDescent="0.2">
      <c r="A184" s="217" t="s">
        <v>27</v>
      </c>
      <c r="B184" s="219">
        <v>227872.81999999998</v>
      </c>
      <c r="C184" s="221">
        <f>B184/B187</f>
        <v>6.2699761528410364E-2</v>
      </c>
      <c r="D184" s="223">
        <v>194560.02999999997</v>
      </c>
      <c r="E184" s="224">
        <f>D184/$D187</f>
        <v>6.7148379365520178E-2</v>
      </c>
      <c r="F184" s="225">
        <v>-7602.079999999999</v>
      </c>
      <c r="G184" s="223">
        <v>422432.85</v>
      </c>
      <c r="H184" s="224">
        <f>G184/$G187</f>
        <v>6.4673135622702896E-2</v>
      </c>
      <c r="J184" s="339">
        <v>0.15923883318278459</v>
      </c>
    </row>
    <row r="185" spans="1:10" x14ac:dyDescent="0.2">
      <c r="A185" s="217" t="s">
        <v>28</v>
      </c>
      <c r="B185" s="219">
        <v>140612.28</v>
      </c>
      <c r="C185" s="221">
        <f>B185/B187</f>
        <v>3.8689811377969806E-2</v>
      </c>
      <c r="D185" s="223">
        <v>164546.14000000001</v>
      </c>
      <c r="E185" s="224">
        <f>D185/$D187</f>
        <v>5.6789704606089945E-2</v>
      </c>
      <c r="F185" s="225">
        <v>-5702.5599999999995</v>
      </c>
      <c r="G185" s="223">
        <v>305158.42</v>
      </c>
      <c r="H185" s="224">
        <f>G185/$G187</f>
        <v>4.6718790650560754E-2</v>
      </c>
      <c r="J185" s="339">
        <v>0.11581077788996272</v>
      </c>
    </row>
    <row r="186" spans="1:10" ht="13.5" thickBot="1" x14ac:dyDescent="0.25">
      <c r="A186" s="226" t="s">
        <v>29</v>
      </c>
      <c r="B186" s="227">
        <v>411089.08999999997</v>
      </c>
      <c r="C186" s="221">
        <f>B186/B187</f>
        <v>0.11311216453954984</v>
      </c>
      <c r="D186" s="227">
        <v>2206714.3099999996</v>
      </c>
      <c r="E186" s="229">
        <f>D186/$D187</f>
        <v>0.76160190579330245</v>
      </c>
      <c r="F186" s="230">
        <v>-34808.26</v>
      </c>
      <c r="G186" s="231">
        <v>2617803.4</v>
      </c>
      <c r="H186" s="229">
        <f>G186/$G187</f>
        <v>0.40077743556584855</v>
      </c>
      <c r="J186" s="339">
        <v>0.48486801890109049</v>
      </c>
    </row>
    <row r="187" spans="1:10" ht="13.5" thickBot="1" x14ac:dyDescent="0.25">
      <c r="A187" s="232" t="s">
        <v>24</v>
      </c>
      <c r="B187" s="233">
        <v>3634349.0700000003</v>
      </c>
      <c r="C187" s="234">
        <f>B187/B187</f>
        <v>1</v>
      </c>
      <c r="D187" s="233">
        <v>2897464.2699999996</v>
      </c>
      <c r="E187" s="235">
        <f>D187/D187</f>
        <v>1</v>
      </c>
      <c r="F187" s="236">
        <v>-139120.75999999998</v>
      </c>
      <c r="G187" s="233">
        <v>6531813.3399999999</v>
      </c>
      <c r="H187" s="235">
        <f>G187/G187</f>
        <v>1</v>
      </c>
      <c r="J187" s="339">
        <v>2</v>
      </c>
    </row>
    <row r="189" spans="1:10" ht="13.5" thickBot="1" x14ac:dyDescent="0.25">
      <c r="A189" s="22" t="s">
        <v>138</v>
      </c>
    </row>
    <row r="190" spans="1:10" x14ac:dyDescent="0.2">
      <c r="A190" s="216" t="s">
        <v>19</v>
      </c>
      <c r="B190" s="218" t="s">
        <v>20</v>
      </c>
      <c r="C190" s="220" t="s">
        <v>21</v>
      </c>
      <c r="D190" s="222" t="s">
        <v>22</v>
      </c>
      <c r="E190" s="222" t="s">
        <v>21</v>
      </c>
      <c r="F190" s="222" t="s">
        <v>23</v>
      </c>
      <c r="G190" s="222" t="s">
        <v>24</v>
      </c>
      <c r="H190" s="222" t="s">
        <v>21</v>
      </c>
    </row>
    <row r="191" spans="1:10" x14ac:dyDescent="0.2">
      <c r="A191" s="217" t="s">
        <v>25</v>
      </c>
      <c r="B191" s="219">
        <v>2358255.77</v>
      </c>
      <c r="C191" s="221">
        <f>B191/$B$196</f>
        <v>0.64295318530606493</v>
      </c>
      <c r="D191" s="219">
        <v>79527.490000000005</v>
      </c>
      <c r="E191" s="224">
        <f>D191/$D$196</f>
        <v>2.8711432412035876E-2</v>
      </c>
      <c r="F191" s="223">
        <v>-43255.38</v>
      </c>
      <c r="G191" s="223">
        <v>2437783.2600000002</v>
      </c>
      <c r="H191" s="224">
        <f>G191/$G$196</f>
        <v>0.37867070729011409</v>
      </c>
      <c r="J191" s="339">
        <v>0.93563502478164007</v>
      </c>
    </row>
    <row r="192" spans="1:10" x14ac:dyDescent="0.2">
      <c r="A192" s="217" t="s">
        <v>26</v>
      </c>
      <c r="B192" s="219">
        <v>556289.22999999986</v>
      </c>
      <c r="C192" s="221">
        <f t="shared" ref="C192:C196" si="52">B192/$B$196</f>
        <v>0.15166630224335595</v>
      </c>
      <c r="D192" s="219">
        <v>204852.75999999995</v>
      </c>
      <c r="E192" s="224">
        <f t="shared" ref="E192:E196" si="53">D192/$D$196</f>
        <v>7.3957020058837572E-2</v>
      </c>
      <c r="F192" s="225">
        <v>-60116.909999999996</v>
      </c>
      <c r="G192" s="223">
        <v>761141.98999999987</v>
      </c>
      <c r="H192" s="224">
        <f t="shared" ref="H192:H196" si="54">G192/$G$196</f>
        <v>0.11823125559632601</v>
      </c>
      <c r="J192" s="339">
        <v>0.33305291415999394</v>
      </c>
    </row>
    <row r="193" spans="1:10" x14ac:dyDescent="0.2">
      <c r="A193" s="217" t="s">
        <v>27</v>
      </c>
      <c r="B193" s="219">
        <v>238005.54000000007</v>
      </c>
      <c r="C193" s="221">
        <f t="shared" si="52"/>
        <v>6.4889662101193582E-2</v>
      </c>
      <c r="D193" s="223">
        <v>189810.15999999992</v>
      </c>
      <c r="E193" s="224">
        <f t="shared" si="53"/>
        <v>6.8526261547519132E-2</v>
      </c>
      <c r="F193" s="225">
        <v>-20028.86</v>
      </c>
      <c r="G193" s="223">
        <v>427815.7</v>
      </c>
      <c r="H193" s="224">
        <f t="shared" si="54"/>
        <v>6.6454338401197841E-2</v>
      </c>
      <c r="J193" s="339">
        <v>0.17662675504676517</v>
      </c>
    </row>
    <row r="194" spans="1:10" x14ac:dyDescent="0.2">
      <c r="A194" s="217" t="s">
        <v>28</v>
      </c>
      <c r="B194" s="219">
        <v>173738.53000000003</v>
      </c>
      <c r="C194" s="221">
        <f t="shared" si="52"/>
        <v>4.7367949946283114E-2</v>
      </c>
      <c r="D194" s="223">
        <v>170171.29</v>
      </c>
      <c r="E194" s="224">
        <f t="shared" si="53"/>
        <v>6.1436133484207241E-2</v>
      </c>
      <c r="F194" s="225">
        <v>-7019.59</v>
      </c>
      <c r="G194" s="223">
        <v>343909.82</v>
      </c>
      <c r="H194" s="224">
        <f t="shared" si="54"/>
        <v>5.3420899601802914E-2</v>
      </c>
      <c r="J194" s="339">
        <v>0.14440301441931452</v>
      </c>
    </row>
    <row r="195" spans="1:10" ht="13.5" thickBot="1" x14ac:dyDescent="0.25">
      <c r="A195" s="226" t="s">
        <v>29</v>
      </c>
      <c r="B195" s="227">
        <v>341560.82</v>
      </c>
      <c r="C195" s="228">
        <f t="shared" si="52"/>
        <v>9.3122900403102379E-2</v>
      </c>
      <c r="D195" s="227">
        <v>2125527.62</v>
      </c>
      <c r="E195" s="229">
        <f t="shared" si="53"/>
        <v>0.76736915249740023</v>
      </c>
      <c r="F195" s="230">
        <v>-33910.810000000005</v>
      </c>
      <c r="G195" s="231">
        <v>2467088.44</v>
      </c>
      <c r="H195" s="229">
        <f t="shared" si="54"/>
        <v>0.38322279911055918</v>
      </c>
      <c r="J195" s="339">
        <v>0.41028229159228652</v>
      </c>
    </row>
    <row r="196" spans="1:10" ht="13.5" thickBot="1" x14ac:dyDescent="0.25">
      <c r="A196" s="232" t="s">
        <v>24</v>
      </c>
      <c r="B196" s="233">
        <v>3667849.89</v>
      </c>
      <c r="C196" s="234">
        <f t="shared" si="52"/>
        <v>1</v>
      </c>
      <c r="D196" s="233">
        <v>2769889.32</v>
      </c>
      <c r="E196" s="235">
        <f t="shared" si="53"/>
        <v>1</v>
      </c>
      <c r="F196" s="236">
        <v>-164331.54999999999</v>
      </c>
      <c r="G196" s="233">
        <v>6437739.21</v>
      </c>
      <c r="H196" s="235">
        <f t="shared" si="54"/>
        <v>1</v>
      </c>
      <c r="J196" s="339">
        <v>2</v>
      </c>
    </row>
    <row r="197" spans="1:10" x14ac:dyDescent="0.2">
      <c r="A197" s="17"/>
      <c r="B197" s="51"/>
      <c r="C197" s="138"/>
      <c r="D197" s="51"/>
      <c r="E197" s="52"/>
      <c r="F197" s="53"/>
      <c r="G197" s="51"/>
      <c r="H197" s="52"/>
    </row>
    <row r="198" spans="1:10" ht="13.5" thickBot="1" x14ac:dyDescent="0.25">
      <c r="A198" s="22" t="s">
        <v>132</v>
      </c>
    </row>
    <row r="199" spans="1:10" ht="13.5" thickBot="1" x14ac:dyDescent="0.25">
      <c r="A199" s="23" t="s">
        <v>19</v>
      </c>
      <c r="B199" s="24" t="s">
        <v>20</v>
      </c>
      <c r="C199" s="133" t="s">
        <v>21</v>
      </c>
      <c r="D199" s="25" t="s">
        <v>22</v>
      </c>
      <c r="E199" s="26" t="s">
        <v>21</v>
      </c>
      <c r="F199" s="27" t="s">
        <v>23</v>
      </c>
      <c r="G199" s="25" t="s">
        <v>24</v>
      </c>
      <c r="H199" s="25" t="s">
        <v>21</v>
      </c>
    </row>
    <row r="200" spans="1:10" x14ac:dyDescent="0.2">
      <c r="A200" s="28" t="s">
        <v>25</v>
      </c>
      <c r="B200" s="29">
        <v>2187133.46</v>
      </c>
      <c r="C200" s="135">
        <f t="shared" ref="C200:C205" si="55">B200/$B$205</f>
        <v>0.63720294567210278</v>
      </c>
      <c r="D200" s="31">
        <v>94662.91</v>
      </c>
      <c r="E200" s="30">
        <f>D200/$D$205</f>
        <v>3.5457846151441992E-2</v>
      </c>
      <c r="F200" s="32">
        <v>-44572.24</v>
      </c>
      <c r="G200" s="33">
        <v>2281796.3699999996</v>
      </c>
      <c r="H200" s="34">
        <f>G200/$G$205</f>
        <v>0.37393453438473789</v>
      </c>
      <c r="J200" s="339">
        <v>0.90932409145948301</v>
      </c>
    </row>
    <row r="201" spans="1:10" x14ac:dyDescent="0.2">
      <c r="A201" s="35" t="s">
        <v>26</v>
      </c>
      <c r="B201" s="36">
        <v>569852.46</v>
      </c>
      <c r="C201" s="135">
        <f t="shared" si="55"/>
        <v>0.16602172329734927</v>
      </c>
      <c r="D201" s="29">
        <v>204034.14</v>
      </c>
      <c r="E201" s="30">
        <f t="shared" ref="E201:E205" si="56">D201/$D$205</f>
        <v>7.6424981502911507E-2</v>
      </c>
      <c r="F201" s="38">
        <v>-49460.65</v>
      </c>
      <c r="G201" s="33">
        <v>773886.6</v>
      </c>
      <c r="H201" s="34">
        <f t="shared" ref="H201:H204" si="57">G201/$G$205</f>
        <v>0.12682241467392111</v>
      </c>
      <c r="J201" s="339">
        <v>0.4310085220612847</v>
      </c>
    </row>
    <row r="202" spans="1:10" x14ac:dyDescent="0.2">
      <c r="A202" s="35" t="s">
        <v>27</v>
      </c>
      <c r="B202" s="36">
        <v>251589.82</v>
      </c>
      <c r="C202" s="135">
        <f t="shared" si="55"/>
        <v>7.3298578864553654E-2</v>
      </c>
      <c r="D202" s="33">
        <v>194238.17</v>
      </c>
      <c r="E202" s="30">
        <f t="shared" si="56"/>
        <v>7.2755709164208412E-2</v>
      </c>
      <c r="F202" s="38">
        <v>-14948.74</v>
      </c>
      <c r="G202" s="33">
        <v>445827.99000000005</v>
      </c>
      <c r="H202" s="34">
        <f t="shared" si="57"/>
        <v>7.3061068922786312E-2</v>
      </c>
      <c r="J202" s="339">
        <v>0.24475986437766398</v>
      </c>
    </row>
    <row r="203" spans="1:10" x14ac:dyDescent="0.2">
      <c r="A203" s="35" t="s">
        <v>28</v>
      </c>
      <c r="B203" s="36">
        <v>115996.98999999999</v>
      </c>
      <c r="C203" s="135">
        <f t="shared" si="55"/>
        <v>3.3794747814382319E-2</v>
      </c>
      <c r="D203" s="33">
        <v>145603.23000000001</v>
      </c>
      <c r="E203" s="30">
        <f t="shared" si="56"/>
        <v>5.4538540263478305E-2</v>
      </c>
      <c r="F203" s="38">
        <v>-4146.53</v>
      </c>
      <c r="G203" s="33">
        <v>261600.22</v>
      </c>
      <c r="H203" s="34">
        <f t="shared" si="57"/>
        <v>4.2870326969906176E-2</v>
      </c>
      <c r="J203" s="339">
        <v>4.8787765608607606E-2</v>
      </c>
    </row>
    <row r="204" spans="1:10" ht="13.5" thickBot="1" x14ac:dyDescent="0.25">
      <c r="A204" s="40" t="s">
        <v>29</v>
      </c>
      <c r="B204" s="41">
        <v>307824.24</v>
      </c>
      <c r="C204" s="135">
        <f t="shared" si="55"/>
        <v>8.9682004351612055E-2</v>
      </c>
      <c r="D204" s="42">
        <v>2031192.52</v>
      </c>
      <c r="E204" s="30">
        <f t="shared" si="56"/>
        <v>0.76082292291795972</v>
      </c>
      <c r="F204" s="44">
        <v>-38849.21</v>
      </c>
      <c r="G204" s="33">
        <v>2339016.7599999998</v>
      </c>
      <c r="H204" s="34">
        <f t="shared" si="57"/>
        <v>0.3833116550486485</v>
      </c>
      <c r="J204" s="339">
        <v>0.4242994676420388</v>
      </c>
    </row>
    <row r="205" spans="1:10" ht="13.5" thickBot="1" x14ac:dyDescent="0.25">
      <c r="A205" s="46" t="s">
        <v>24</v>
      </c>
      <c r="B205" s="47">
        <v>3432396.9699999997</v>
      </c>
      <c r="C205" s="137">
        <f t="shared" si="55"/>
        <v>1</v>
      </c>
      <c r="D205" s="47">
        <v>2669730.9700000002</v>
      </c>
      <c r="E205" s="48">
        <f t="shared" si="56"/>
        <v>1</v>
      </c>
      <c r="F205" s="49">
        <v>-151977.37</v>
      </c>
      <c r="G205" s="47">
        <v>6102127.9399999995</v>
      </c>
      <c r="H205" s="50">
        <f>SUM(H200:H204)</f>
        <v>1</v>
      </c>
      <c r="J205" s="339">
        <v>2.0581797111490783</v>
      </c>
    </row>
    <row r="207" spans="1:10" ht="13.5" thickBot="1" x14ac:dyDescent="0.25">
      <c r="A207" s="22" t="s">
        <v>131</v>
      </c>
    </row>
    <row r="208" spans="1:10" ht="13.5" thickBot="1" x14ac:dyDescent="0.25">
      <c r="A208" s="23" t="s">
        <v>19</v>
      </c>
      <c r="B208" s="24" t="s">
        <v>20</v>
      </c>
      <c r="C208" s="133" t="s">
        <v>21</v>
      </c>
      <c r="D208" s="25" t="s">
        <v>22</v>
      </c>
      <c r="E208" s="26" t="s">
        <v>21</v>
      </c>
      <c r="F208" s="27" t="s">
        <v>23</v>
      </c>
      <c r="G208" s="25" t="s">
        <v>24</v>
      </c>
      <c r="H208" s="25" t="s">
        <v>21</v>
      </c>
    </row>
    <row r="209" spans="1:10" x14ac:dyDescent="0.2">
      <c r="A209" s="28" t="s">
        <v>25</v>
      </c>
      <c r="B209" s="29">
        <v>1998384.2700000003</v>
      </c>
      <c r="C209" s="135">
        <f t="shared" ref="C209:C214" si="58">B209/$B$214</f>
        <v>0.62905664539141137</v>
      </c>
      <c r="D209" s="31">
        <v>117454.49</v>
      </c>
      <c r="E209" s="30">
        <f t="shared" ref="E209:E214" si="59">D209/$D$214</f>
        <v>4.5058518381632481E-2</v>
      </c>
      <c r="F209" s="32">
        <v>-29441.96</v>
      </c>
      <c r="G209" s="33">
        <v>2115838.7600000002</v>
      </c>
      <c r="H209" s="34">
        <f t="shared" ref="H209:H214" si="60">G209/$G$214</f>
        <v>0.36584019725158345</v>
      </c>
      <c r="J209" s="339">
        <v>0.86195714634581666</v>
      </c>
    </row>
    <row r="210" spans="1:10" x14ac:dyDescent="0.2">
      <c r="A210" s="35" t="s">
        <v>26</v>
      </c>
      <c r="B210" s="36">
        <v>606766.05000000005</v>
      </c>
      <c r="C210" s="135">
        <f t="shared" si="58"/>
        <v>0.19099940971332674</v>
      </c>
      <c r="D210" s="29">
        <v>214144.84</v>
      </c>
      <c r="E210" s="30">
        <f t="shared" si="59"/>
        <v>8.2151386545305724E-2</v>
      </c>
      <c r="F210" s="38">
        <v>-58745.520000000004</v>
      </c>
      <c r="G210" s="33">
        <v>820910.89</v>
      </c>
      <c r="H210" s="34">
        <f t="shared" si="60"/>
        <v>0.14194002284161433</v>
      </c>
      <c r="J210" s="339">
        <v>0.60213337625043806</v>
      </c>
    </row>
    <row r="211" spans="1:10" x14ac:dyDescent="0.2">
      <c r="A211" s="35" t="s">
        <v>27</v>
      </c>
      <c r="B211" s="36">
        <v>182996.16</v>
      </c>
      <c r="C211" s="135">
        <f t="shared" si="58"/>
        <v>5.7604011529329126E-2</v>
      </c>
      <c r="D211" s="33">
        <v>175219.46999999997</v>
      </c>
      <c r="E211" s="30">
        <f t="shared" si="59"/>
        <v>6.7218628336940534E-2</v>
      </c>
      <c r="F211" s="38">
        <v>-11164.779999999999</v>
      </c>
      <c r="G211" s="33">
        <v>358215.63</v>
      </c>
      <c r="H211" s="34">
        <f t="shared" si="60"/>
        <v>6.1937459136914681E-2</v>
      </c>
      <c r="J211" s="339">
        <v>8.4486353627218819E-2</v>
      </c>
    </row>
    <row r="212" spans="1:10" x14ac:dyDescent="0.2">
      <c r="A212" s="35" t="s">
        <v>28</v>
      </c>
      <c r="B212" s="36">
        <v>94713.159999999989</v>
      </c>
      <c r="C212" s="135">
        <f t="shared" si="58"/>
        <v>2.9814057085237163E-2</v>
      </c>
      <c r="D212" s="33">
        <v>158440.43999999997</v>
      </c>
      <c r="E212" s="30">
        <f t="shared" si="59"/>
        <v>6.078176728819764E-2</v>
      </c>
      <c r="F212" s="38">
        <v>-5959.9400000000005</v>
      </c>
      <c r="G212" s="33">
        <v>253153.59999999998</v>
      </c>
      <c r="H212" s="34">
        <f t="shared" si="60"/>
        <v>4.3771654395322851E-2</v>
      </c>
      <c r="J212" s="339">
        <v>4.5922260818543954E-2</v>
      </c>
    </row>
    <row r="213" spans="1:10" ht="13.5" thickBot="1" x14ac:dyDescent="0.25">
      <c r="A213" s="40" t="s">
        <v>29</v>
      </c>
      <c r="B213" s="41">
        <v>293935.78000000003</v>
      </c>
      <c r="C213" s="135">
        <f t="shared" si="58"/>
        <v>9.2525876280695446E-2</v>
      </c>
      <c r="D213" s="42">
        <v>1941450.75</v>
      </c>
      <c r="E213" s="30">
        <f t="shared" si="59"/>
        <v>0.74478969944792373</v>
      </c>
      <c r="F213" s="44">
        <v>-66725.299999999988</v>
      </c>
      <c r="G213" s="33">
        <v>2235386.5300000003</v>
      </c>
      <c r="H213" s="34">
        <f t="shared" si="60"/>
        <v>0.38651066637456472</v>
      </c>
      <c r="J213" s="339">
        <v>0.40550086295798266</v>
      </c>
    </row>
    <row r="214" spans="1:10" ht="13.5" thickBot="1" x14ac:dyDescent="0.25">
      <c r="A214" s="46" t="s">
        <v>24</v>
      </c>
      <c r="B214" s="47">
        <v>3176795.4200000009</v>
      </c>
      <c r="C214" s="137">
        <f t="shared" si="58"/>
        <v>1</v>
      </c>
      <c r="D214" s="47">
        <v>2606709.9899999998</v>
      </c>
      <c r="E214" s="48">
        <f t="shared" si="59"/>
        <v>1</v>
      </c>
      <c r="F214" s="49">
        <v>-172037.49999999997</v>
      </c>
      <c r="G214" s="47">
        <v>5783505.4100000001</v>
      </c>
      <c r="H214" s="50">
        <f t="shared" si="60"/>
        <v>1</v>
      </c>
      <c r="J214" s="339">
        <v>2</v>
      </c>
    </row>
    <row r="217" spans="1:10" ht="13.5" thickBot="1" x14ac:dyDescent="0.25">
      <c r="A217" s="22" t="s">
        <v>117</v>
      </c>
    </row>
    <row r="218" spans="1:10" ht="13.5" thickBot="1" x14ac:dyDescent="0.25">
      <c r="A218" s="23" t="s">
        <v>19</v>
      </c>
      <c r="B218" s="24" t="s">
        <v>20</v>
      </c>
      <c r="C218" s="133" t="s">
        <v>21</v>
      </c>
      <c r="D218" s="25" t="s">
        <v>22</v>
      </c>
      <c r="E218" s="26" t="s">
        <v>21</v>
      </c>
      <c r="F218" s="27" t="s">
        <v>23</v>
      </c>
      <c r="G218" s="25" t="s">
        <v>24</v>
      </c>
      <c r="H218" s="25" t="s">
        <v>21</v>
      </c>
    </row>
    <row r="219" spans="1:10" x14ac:dyDescent="0.2">
      <c r="A219" s="28" t="s">
        <v>25</v>
      </c>
      <c r="B219" s="29">
        <v>1910163.8399999999</v>
      </c>
      <c r="C219" s="135">
        <f t="shared" ref="C219:C221" si="61">B219/$B$224</f>
        <v>0.61825078233411168</v>
      </c>
      <c r="D219" s="31">
        <v>131171.27000000002</v>
      </c>
      <c r="E219" s="30">
        <f>D219/$D$224</f>
        <v>5.2432400532238278E-2</v>
      </c>
      <c r="F219" s="32">
        <v>-38373.97</v>
      </c>
      <c r="G219" s="33">
        <v>2041335.1099999999</v>
      </c>
      <c r="H219" s="34">
        <f>G219/$G$224</f>
        <v>0.36508819717755847</v>
      </c>
      <c r="J219" s="339">
        <v>1.333672792738088</v>
      </c>
    </row>
    <row r="220" spans="1:10" x14ac:dyDescent="0.2">
      <c r="A220" s="35" t="s">
        <v>26</v>
      </c>
      <c r="B220" s="36">
        <v>383610.09</v>
      </c>
      <c r="C220" s="135">
        <f t="shared" si="61"/>
        <v>0.12416067841267429</v>
      </c>
      <c r="D220" s="29">
        <v>199240.92</v>
      </c>
      <c r="E220" s="30">
        <f t="shared" ref="E220:E223" si="62">D220/$D$224</f>
        <v>7.9641523024452265E-2</v>
      </c>
      <c r="F220" s="38">
        <v>-35788.1</v>
      </c>
      <c r="G220" s="33">
        <v>582851.01</v>
      </c>
      <c r="H220" s="34">
        <f t="shared" ref="H220:H223" si="63">G220/$G$224</f>
        <v>0.10424159336779307</v>
      </c>
      <c r="J220" s="339">
        <v>0.12174146439803013</v>
      </c>
    </row>
    <row r="221" spans="1:10" x14ac:dyDescent="0.2">
      <c r="A221" s="35" t="s">
        <v>27</v>
      </c>
      <c r="B221" s="36">
        <v>172078.47</v>
      </c>
      <c r="C221" s="135">
        <f t="shared" si="61"/>
        <v>5.5695562062549032E-2</v>
      </c>
      <c r="D221" s="33">
        <v>176173.89</v>
      </c>
      <c r="E221" s="30">
        <f t="shared" si="62"/>
        <v>7.0421060677406624E-2</v>
      </c>
      <c r="F221" s="38">
        <v>-12971.779999999999</v>
      </c>
      <c r="G221" s="33">
        <v>348252.36</v>
      </c>
      <c r="H221" s="34">
        <f t="shared" si="63"/>
        <v>6.228415200051602E-2</v>
      </c>
      <c r="J221" s="339">
        <v>6.3917402148323754E-2</v>
      </c>
    </row>
    <row r="222" spans="1:10" x14ac:dyDescent="0.2">
      <c r="A222" s="35" t="s">
        <v>28</v>
      </c>
      <c r="B222" s="36">
        <v>114169.82</v>
      </c>
      <c r="C222" s="135">
        <f>B222/$B$224</f>
        <v>3.6952631526070936E-2</v>
      </c>
      <c r="D222" s="33">
        <v>146022.65</v>
      </c>
      <c r="E222" s="30">
        <f t="shared" si="62"/>
        <v>5.8368864398269854E-2</v>
      </c>
      <c r="F222" s="38">
        <v>-9975.68</v>
      </c>
      <c r="G222" s="33">
        <v>260192.47</v>
      </c>
      <c r="H222" s="34">
        <f t="shared" si="63"/>
        <v>4.6534838560375311E-2</v>
      </c>
      <c r="J222" s="339">
        <v>4.7755101332136451E-2</v>
      </c>
    </row>
    <row r="223" spans="1:10" ht="13.5" thickBot="1" x14ac:dyDescent="0.25">
      <c r="A223" s="40" t="s">
        <v>29</v>
      </c>
      <c r="B223" s="41">
        <v>509604.02</v>
      </c>
      <c r="C223" s="135">
        <f t="shared" ref="C223" si="64">B223/$B$224</f>
        <v>0.16494034566459406</v>
      </c>
      <c r="D223" s="42">
        <v>1849112.89</v>
      </c>
      <c r="E223" s="30">
        <f t="shared" si="62"/>
        <v>0.73913615136763289</v>
      </c>
      <c r="F223" s="44">
        <v>-57018.37</v>
      </c>
      <c r="G223" s="33">
        <v>2358716.91</v>
      </c>
      <c r="H223" s="34">
        <f t="shared" si="63"/>
        <v>0.42185121889375704</v>
      </c>
      <c r="J223" s="339">
        <v>0.43291323938342174</v>
      </c>
    </row>
    <row r="224" spans="1:10" ht="13.5" thickBot="1" x14ac:dyDescent="0.25">
      <c r="A224" s="46" t="s">
        <v>24</v>
      </c>
      <c r="B224" s="47">
        <v>3089626.2399999998</v>
      </c>
      <c r="C224" s="137">
        <f>B224/$B$224</f>
        <v>1</v>
      </c>
      <c r="D224" s="47">
        <v>2501721.62</v>
      </c>
      <c r="E224" s="48">
        <f>D224/$D$224</f>
        <v>1</v>
      </c>
      <c r="F224" s="49">
        <v>-154127.9</v>
      </c>
      <c r="G224" s="47">
        <v>5591347.8600000003</v>
      </c>
      <c r="H224" s="50">
        <f>G224/$G$224</f>
        <v>1</v>
      </c>
      <c r="J224" s="339">
        <v>2</v>
      </c>
    </row>
    <row r="227" spans="1:8" ht="13.5" thickBot="1" x14ac:dyDescent="0.25">
      <c r="A227" s="22" t="s">
        <v>112</v>
      </c>
    </row>
    <row r="228" spans="1:8" ht="13.5" thickBot="1" x14ac:dyDescent="0.25">
      <c r="A228" s="23" t="s">
        <v>19</v>
      </c>
      <c r="B228" s="24" t="s">
        <v>20</v>
      </c>
      <c r="C228" s="133" t="s">
        <v>21</v>
      </c>
      <c r="D228" s="25" t="s">
        <v>22</v>
      </c>
      <c r="E228" s="26" t="s">
        <v>21</v>
      </c>
      <c r="F228" s="27" t="s">
        <v>23</v>
      </c>
      <c r="G228" s="25" t="s">
        <v>24</v>
      </c>
      <c r="H228" s="25" t="s">
        <v>21</v>
      </c>
    </row>
    <row r="229" spans="1:8" x14ac:dyDescent="0.2">
      <c r="A229" s="28" t="s">
        <v>25</v>
      </c>
      <c r="B229" s="29">
        <v>1523947.75</v>
      </c>
      <c r="C229" s="134">
        <f t="shared" ref="C229:C234" si="65">B229/$B$234</f>
        <v>0.54721047723089911</v>
      </c>
      <c r="D229" s="31">
        <v>91939.19</v>
      </c>
      <c r="E229" s="30">
        <f t="shared" ref="E229:E234" si="66">D229/$D$234</f>
        <v>3.8407274477068487E-2</v>
      </c>
      <c r="F229" s="32">
        <f>-2321.2+-38736.52</f>
        <v>-41057.719999999994</v>
      </c>
      <c r="G229" s="33">
        <f>B229+D229</f>
        <v>1615886.94</v>
      </c>
      <c r="H229" s="34">
        <f t="shared" ref="H229:H234" si="67">G229/$G$234</f>
        <v>0.31202347425693905</v>
      </c>
    </row>
    <row r="230" spans="1:8" x14ac:dyDescent="0.2">
      <c r="A230" s="35" t="s">
        <v>26</v>
      </c>
      <c r="B230" s="36">
        <v>435868.75</v>
      </c>
      <c r="C230" s="135">
        <f t="shared" si="65"/>
        <v>0.15650926791783737</v>
      </c>
      <c r="D230" s="29">
        <v>191486.87</v>
      </c>
      <c r="E230" s="30">
        <f t="shared" si="66"/>
        <v>7.9992968992273372E-2</v>
      </c>
      <c r="F230" s="38">
        <f>-1511.09+-28242.37</f>
        <v>-29753.46</v>
      </c>
      <c r="G230" s="33">
        <f>B230+D230</f>
        <v>627355.62</v>
      </c>
      <c r="H230" s="34">
        <f t="shared" si="67"/>
        <v>0.12114070316517074</v>
      </c>
    </row>
    <row r="231" spans="1:8" x14ac:dyDescent="0.2">
      <c r="A231" s="35" t="s">
        <v>27</v>
      </c>
      <c r="B231" s="36">
        <v>214983.79</v>
      </c>
      <c r="C231" s="135">
        <f t="shared" si="65"/>
        <v>7.719515470448865E-2</v>
      </c>
      <c r="D231" s="33">
        <v>173400.17</v>
      </c>
      <c r="E231" s="30">
        <f t="shared" si="66"/>
        <v>7.2437313441203216E-2</v>
      </c>
      <c r="F231" s="38">
        <f>-1360.94+-10299.91</f>
        <v>-11660.85</v>
      </c>
      <c r="G231" s="33">
        <f>B231+D231</f>
        <v>388383.96</v>
      </c>
      <c r="H231" s="34">
        <f t="shared" si="67"/>
        <v>7.4995910632750129E-2</v>
      </c>
    </row>
    <row r="232" spans="1:8" x14ac:dyDescent="0.2">
      <c r="A232" s="35" t="s">
        <v>28</v>
      </c>
      <c r="B232" s="36">
        <v>136721.41</v>
      </c>
      <c r="C232" s="135">
        <f t="shared" si="65"/>
        <v>4.9093145098827319E-2</v>
      </c>
      <c r="D232" s="33">
        <v>162069.92000000001</v>
      </c>
      <c r="E232" s="30">
        <f t="shared" si="66"/>
        <v>6.7704141203729681E-2</v>
      </c>
      <c r="F232" s="38">
        <f>-2586.13+-6423.33</f>
        <v>-9009.4599999999991</v>
      </c>
      <c r="G232" s="33">
        <f>B232+D232</f>
        <v>298791.33</v>
      </c>
      <c r="H232" s="34">
        <f t="shared" si="67"/>
        <v>5.7695811852066577E-2</v>
      </c>
    </row>
    <row r="233" spans="1:8" ht="13.5" thickBot="1" x14ac:dyDescent="0.25">
      <c r="A233" s="40" t="s">
        <v>29</v>
      </c>
      <c r="B233" s="41">
        <v>473417.21</v>
      </c>
      <c r="C233" s="136">
        <f t="shared" si="65"/>
        <v>0.16999195504794753</v>
      </c>
      <c r="D233" s="42">
        <v>1774900.11</v>
      </c>
      <c r="E233" s="30">
        <f t="shared" si="66"/>
        <v>0.74145830188572515</v>
      </c>
      <c r="F233" s="44">
        <f>-23175.82+-25925.74</f>
        <v>-49101.56</v>
      </c>
      <c r="G233" s="33">
        <f>B233+D233</f>
        <v>2248317.3200000003</v>
      </c>
      <c r="H233" s="34">
        <f t="shared" si="67"/>
        <v>0.43414410009307358</v>
      </c>
    </row>
    <row r="234" spans="1:8" ht="13.5" thickBot="1" x14ac:dyDescent="0.25">
      <c r="A234" s="46" t="s">
        <v>24</v>
      </c>
      <c r="B234" s="47">
        <f>SUM(B229:B233)</f>
        <v>2784938.91</v>
      </c>
      <c r="C234" s="137">
        <f t="shared" si="65"/>
        <v>1</v>
      </c>
      <c r="D234" s="47">
        <f>SUM(D229:D233)</f>
        <v>2393796.2600000002</v>
      </c>
      <c r="E234" s="48">
        <f t="shared" si="66"/>
        <v>1</v>
      </c>
      <c r="F234" s="49">
        <f>SUM(F229:F233)</f>
        <v>-140583.04999999999</v>
      </c>
      <c r="G234" s="47">
        <f>SUM(G229:G233)</f>
        <v>5178735.17</v>
      </c>
      <c r="H234" s="50">
        <f t="shared" si="67"/>
        <v>1</v>
      </c>
    </row>
    <row r="238" spans="1:8" ht="13.5" thickBot="1" x14ac:dyDescent="0.25">
      <c r="A238" s="22" t="s">
        <v>110</v>
      </c>
    </row>
    <row r="239" spans="1:8" ht="13.5" thickBot="1" x14ac:dyDescent="0.25">
      <c r="A239" s="23" t="s">
        <v>19</v>
      </c>
      <c r="B239" s="24" t="s">
        <v>20</v>
      </c>
      <c r="C239" s="133" t="s">
        <v>21</v>
      </c>
      <c r="D239" s="25" t="s">
        <v>22</v>
      </c>
      <c r="E239" s="26" t="s">
        <v>21</v>
      </c>
      <c r="F239" s="27" t="s">
        <v>23</v>
      </c>
      <c r="G239" s="25" t="s">
        <v>24</v>
      </c>
      <c r="H239" s="25" t="s">
        <v>21</v>
      </c>
    </row>
    <row r="240" spans="1:8" x14ac:dyDescent="0.2">
      <c r="A240" s="28" t="s">
        <v>25</v>
      </c>
      <c r="B240" s="29">
        <v>1185194.18</v>
      </c>
      <c r="C240" s="134">
        <f>B240/$B$245</f>
        <v>0.47329991717809788</v>
      </c>
      <c r="D240" s="31">
        <v>95447.1</v>
      </c>
      <c r="E240" s="30">
        <f t="shared" ref="E240:E245" si="68">D240/$D$245</f>
        <v>4.1837332115371925E-2</v>
      </c>
      <c r="F240" s="32">
        <f>-37747.82+-3489.81</f>
        <v>-41237.629999999997</v>
      </c>
      <c r="G240" s="33">
        <f>B240+D240</f>
        <v>1280641.28</v>
      </c>
      <c r="H240" s="34">
        <f t="shared" ref="H240:H245" si="69">G240/$G$245</f>
        <v>0.26760900002036569</v>
      </c>
    </row>
    <row r="241" spans="1:8" x14ac:dyDescent="0.2">
      <c r="A241" s="35" t="s">
        <v>26</v>
      </c>
      <c r="B241" s="36">
        <v>485236.82</v>
      </c>
      <c r="C241" s="135">
        <f>B241/$B$245</f>
        <v>0.19377630315208233</v>
      </c>
      <c r="D241" s="29">
        <v>178291.92</v>
      </c>
      <c r="E241" s="30">
        <f t="shared" si="68"/>
        <v>7.8150706208227616E-2</v>
      </c>
      <c r="F241" s="38">
        <f>-41636.85+-2604.75</f>
        <v>-44241.599999999999</v>
      </c>
      <c r="G241" s="33">
        <f>B241+D241</f>
        <v>663528.74</v>
      </c>
      <c r="H241" s="34">
        <f t="shared" si="69"/>
        <v>0.13865417691062809</v>
      </c>
    </row>
    <row r="242" spans="1:8" x14ac:dyDescent="0.2">
      <c r="A242" s="35" t="s">
        <v>27</v>
      </c>
      <c r="B242" s="36">
        <v>250282.98</v>
      </c>
      <c r="C242" s="135">
        <f>B242/$B$245</f>
        <v>9.9948949888606059E-2</v>
      </c>
      <c r="D242" s="33">
        <v>170124.19</v>
      </c>
      <c r="E242" s="30">
        <f t="shared" si="68"/>
        <v>7.4570544708939659E-2</v>
      </c>
      <c r="F242" s="38">
        <f>-28779.47+-2773.52</f>
        <v>-31552.99</v>
      </c>
      <c r="G242" s="33">
        <f>B242+D242</f>
        <v>420407.17000000004</v>
      </c>
      <c r="H242" s="34">
        <f t="shared" si="69"/>
        <v>8.7850316963929115E-2</v>
      </c>
    </row>
    <row r="243" spans="1:8" x14ac:dyDescent="0.2">
      <c r="A243" s="35" t="s">
        <v>28</v>
      </c>
      <c r="B243" s="36">
        <v>133374.88</v>
      </c>
      <c r="C243" s="135">
        <f>B243/$B$245</f>
        <v>5.3262427982593327E-2</v>
      </c>
      <c r="D243" s="33">
        <v>165740.49</v>
      </c>
      <c r="E243" s="30">
        <f t="shared" si="68"/>
        <v>7.264903726875388E-2</v>
      </c>
      <c r="F243" s="38">
        <f>-12494.72+-3379.03</f>
        <v>-15873.75</v>
      </c>
      <c r="G243" s="33">
        <f>B243+D243</f>
        <v>299115.37</v>
      </c>
      <c r="H243" s="34">
        <f t="shared" si="69"/>
        <v>6.2504595398035032E-2</v>
      </c>
    </row>
    <row r="244" spans="1:8" ht="13.5" thickBot="1" x14ac:dyDescent="0.25">
      <c r="A244" s="40" t="s">
        <v>29</v>
      </c>
      <c r="B244" s="41">
        <v>450019.29</v>
      </c>
      <c r="C244" s="136">
        <f>B244/$B$245</f>
        <v>0.17971240179862039</v>
      </c>
      <c r="D244" s="42">
        <v>1671782.21</v>
      </c>
      <c r="E244" s="30">
        <f t="shared" si="68"/>
        <v>0.73279237969870681</v>
      </c>
      <c r="F244" s="44">
        <f>-27356.23+-26839.21</f>
        <v>-54195.44</v>
      </c>
      <c r="G244" s="33">
        <f>B244+D244</f>
        <v>2121801.5</v>
      </c>
      <c r="H244" s="34">
        <f t="shared" si="69"/>
        <v>0.44338191070704197</v>
      </c>
    </row>
    <row r="245" spans="1:8" ht="13.5" thickBot="1" x14ac:dyDescent="0.25">
      <c r="A245" s="46" t="s">
        <v>24</v>
      </c>
      <c r="B245" s="47">
        <f>SUM(B240:B244)</f>
        <v>2504108.15</v>
      </c>
      <c r="C245" s="137">
        <f>B245/B245</f>
        <v>1</v>
      </c>
      <c r="D245" s="47">
        <f>SUM(D240:D244)</f>
        <v>2281385.91</v>
      </c>
      <c r="E245" s="48">
        <f t="shared" si="68"/>
        <v>1</v>
      </c>
      <c r="F245" s="49">
        <f>SUM(F240:F244)</f>
        <v>-187101.41</v>
      </c>
      <c r="G245" s="47">
        <f>SUM(G240:G244)</f>
        <v>4785494.0600000005</v>
      </c>
      <c r="H245" s="50">
        <f t="shared" si="69"/>
        <v>1</v>
      </c>
    </row>
    <row r="248" spans="1:8" ht="13.5" thickBot="1" x14ac:dyDescent="0.25">
      <c r="A248" s="22" t="s">
        <v>108</v>
      </c>
    </row>
    <row r="249" spans="1:8" ht="13.5" thickBot="1" x14ac:dyDescent="0.25">
      <c r="A249" s="23" t="s">
        <v>19</v>
      </c>
      <c r="B249" s="24" t="s">
        <v>20</v>
      </c>
      <c r="C249" s="133" t="s">
        <v>21</v>
      </c>
      <c r="D249" s="25" t="s">
        <v>22</v>
      </c>
      <c r="E249" s="26" t="s">
        <v>21</v>
      </c>
      <c r="F249" s="27" t="s">
        <v>23</v>
      </c>
      <c r="G249" s="25" t="s">
        <v>24</v>
      </c>
      <c r="H249" s="25" t="s">
        <v>21</v>
      </c>
    </row>
    <row r="250" spans="1:8" x14ac:dyDescent="0.2">
      <c r="A250" s="28" t="s">
        <v>25</v>
      </c>
      <c r="B250" s="29">
        <v>1397680.94</v>
      </c>
      <c r="C250" s="134">
        <f t="shared" ref="C250:C255" si="70">B250/$B$255</f>
        <v>0.48077251761831546</v>
      </c>
      <c r="D250" s="31">
        <v>91072.03</v>
      </c>
      <c r="E250" s="30">
        <f t="shared" ref="E250:E255" si="71">D250/$D$255</f>
        <v>4.0944061525121915E-2</v>
      </c>
      <c r="F250" s="32">
        <f>-24402.01+-1670.97</f>
        <v>-26072.98</v>
      </c>
      <c r="G250" s="33">
        <f>B250+D250</f>
        <v>1488752.97</v>
      </c>
      <c r="H250" s="34">
        <f t="shared" ref="H250:H255" si="72">G250/$G$255</f>
        <v>0.29012267471061998</v>
      </c>
    </row>
    <row r="251" spans="1:8" x14ac:dyDescent="0.2">
      <c r="A251" s="35" t="s">
        <v>26</v>
      </c>
      <c r="B251" s="36">
        <v>612786.64</v>
      </c>
      <c r="C251" s="135">
        <f t="shared" si="70"/>
        <v>0.2107855714736071</v>
      </c>
      <c r="D251" s="29">
        <v>190906.63</v>
      </c>
      <c r="E251" s="30">
        <f t="shared" si="71"/>
        <v>8.5827589483551486E-2</v>
      </c>
      <c r="F251" s="38">
        <f>-58129.51+-1258.84</f>
        <v>-59388.35</v>
      </c>
      <c r="G251" s="33">
        <f>B251+D251</f>
        <v>803693.27</v>
      </c>
      <c r="H251" s="34">
        <f t="shared" si="72"/>
        <v>0.15662077311545144</v>
      </c>
    </row>
    <row r="252" spans="1:8" x14ac:dyDescent="0.2">
      <c r="A252" s="35" t="s">
        <v>27</v>
      </c>
      <c r="B252" s="36">
        <v>280932.58</v>
      </c>
      <c r="C252" s="135">
        <f t="shared" si="70"/>
        <v>9.6634832673334461E-2</v>
      </c>
      <c r="D252" s="33">
        <v>194039.28</v>
      </c>
      <c r="E252" s="30">
        <f t="shared" si="71"/>
        <v>8.7235962771559594E-2</v>
      </c>
      <c r="F252" s="38">
        <f>-28228.53+-3419.83</f>
        <v>-31648.36</v>
      </c>
      <c r="G252" s="33">
        <f>B252+D252</f>
        <v>474971.86</v>
      </c>
      <c r="H252" s="34">
        <f t="shared" si="72"/>
        <v>9.2560760053750302E-2</v>
      </c>
    </row>
    <row r="253" spans="1:8" x14ac:dyDescent="0.2">
      <c r="A253" s="35" t="s">
        <v>28</v>
      </c>
      <c r="B253" s="36">
        <v>140215.54999999999</v>
      </c>
      <c r="C253" s="135">
        <f t="shared" si="70"/>
        <v>4.8231167109381051E-2</v>
      </c>
      <c r="D253" s="33">
        <v>179819.42</v>
      </c>
      <c r="E253" s="30">
        <f t="shared" si="71"/>
        <v>8.0843013995534507E-2</v>
      </c>
      <c r="F253" s="38">
        <f>-6437.69+-4440.05</f>
        <v>-10877.74</v>
      </c>
      <c r="G253" s="33">
        <f>B253+D253</f>
        <v>320034.96999999997</v>
      </c>
      <c r="H253" s="34">
        <f t="shared" si="72"/>
        <v>6.2367231749222311E-2</v>
      </c>
    </row>
    <row r="254" spans="1:8" ht="13.5" thickBot="1" x14ac:dyDescent="0.25">
      <c r="A254" s="40" t="s">
        <v>29</v>
      </c>
      <c r="B254" s="41">
        <v>475540.77</v>
      </c>
      <c r="C254" s="136">
        <f t="shared" si="70"/>
        <v>0.16357591112536193</v>
      </c>
      <c r="D254" s="42">
        <v>1568466.4</v>
      </c>
      <c r="E254" s="30">
        <f t="shared" si="71"/>
        <v>0.70514937222423257</v>
      </c>
      <c r="F254" s="44">
        <f>-23349.84+-30250.45</f>
        <v>-53600.29</v>
      </c>
      <c r="G254" s="33">
        <f>B254+D254</f>
        <v>2044007.17</v>
      </c>
      <c r="H254" s="34">
        <f t="shared" si="72"/>
        <v>0.39832856037095588</v>
      </c>
    </row>
    <row r="255" spans="1:8" ht="13.5" thickBot="1" x14ac:dyDescent="0.25">
      <c r="A255" s="46" t="s">
        <v>24</v>
      </c>
      <c r="B255" s="47">
        <f>SUM(B250:B254)</f>
        <v>2907156.48</v>
      </c>
      <c r="C255" s="137">
        <f t="shared" si="70"/>
        <v>1</v>
      </c>
      <c r="D255" s="47">
        <f>SUM(D250:D254)</f>
        <v>2224303.7599999998</v>
      </c>
      <c r="E255" s="48">
        <f t="shared" si="71"/>
        <v>1</v>
      </c>
      <c r="F255" s="49">
        <f>SUM(F250:F254)</f>
        <v>-181587.72</v>
      </c>
      <c r="G255" s="47">
        <f>SUM(G250:G254)</f>
        <v>5131460.24</v>
      </c>
      <c r="H255" s="50">
        <f t="shared" si="72"/>
        <v>1</v>
      </c>
    </row>
    <row r="259" spans="1:8" ht="13.5" thickBot="1" x14ac:dyDescent="0.25">
      <c r="A259" s="22" t="s">
        <v>106</v>
      </c>
    </row>
    <row r="260" spans="1:8" ht="13.5" thickBot="1" x14ac:dyDescent="0.25">
      <c r="A260" s="23" t="s">
        <v>19</v>
      </c>
      <c r="B260" s="24" t="s">
        <v>20</v>
      </c>
      <c r="C260" s="133" t="s">
        <v>21</v>
      </c>
      <c r="D260" s="25" t="s">
        <v>22</v>
      </c>
      <c r="E260" s="26" t="s">
        <v>21</v>
      </c>
      <c r="F260" s="27" t="s">
        <v>23</v>
      </c>
      <c r="G260" s="25" t="s">
        <v>24</v>
      </c>
      <c r="H260" s="25" t="s">
        <v>21</v>
      </c>
    </row>
    <row r="261" spans="1:8" x14ac:dyDescent="0.2">
      <c r="A261" s="28" t="s">
        <v>25</v>
      </c>
      <c r="B261" s="29">
        <v>1606720.86</v>
      </c>
      <c r="C261" s="134">
        <f>B261/$B$266</f>
        <v>0.50621230246906135</v>
      </c>
      <c r="D261" s="31">
        <v>71357.94</v>
      </c>
      <c r="E261" s="30">
        <f>D261/$D$266</f>
        <v>3.3952254424833017E-2</v>
      </c>
      <c r="F261" s="32">
        <f>-30294.86+-1347.21</f>
        <v>-31642.07</v>
      </c>
      <c r="G261" s="33">
        <f>B261+D261</f>
        <v>1678078.8</v>
      </c>
      <c r="H261" s="34">
        <f>G261/$G$266</f>
        <v>0.31807577122326924</v>
      </c>
    </row>
    <row r="262" spans="1:8" x14ac:dyDescent="0.2">
      <c r="A262" s="35" t="s">
        <v>26</v>
      </c>
      <c r="B262" s="36">
        <v>673656.87</v>
      </c>
      <c r="C262" s="135">
        <f>B262/$B$266</f>
        <v>0.21224184220574635</v>
      </c>
      <c r="D262" s="29">
        <v>212018.82</v>
      </c>
      <c r="E262" s="30">
        <f>D262/$D$266</f>
        <v>0.10087899005342468</v>
      </c>
      <c r="F262" s="38">
        <f>-46779.34+-2053.93</f>
        <v>-48833.27</v>
      </c>
      <c r="G262" s="33">
        <f>B262+D262</f>
        <v>885675.69</v>
      </c>
      <c r="H262" s="34">
        <f>G262/$G$266</f>
        <v>0.16787768139997425</v>
      </c>
    </row>
    <row r="263" spans="1:8" x14ac:dyDescent="0.2">
      <c r="A263" s="35" t="s">
        <v>27</v>
      </c>
      <c r="B263" s="36">
        <v>273737.34000000003</v>
      </c>
      <c r="C263" s="135">
        <f>B263/$B$266</f>
        <v>8.6243486720621945E-2</v>
      </c>
      <c r="D263" s="33">
        <v>199907.45</v>
      </c>
      <c r="E263" s="30">
        <f>D263/$D$266</f>
        <v>9.5116375330055569E-2</v>
      </c>
      <c r="F263" s="38">
        <f>-28331.14+-1605.33</f>
        <v>-29936.47</v>
      </c>
      <c r="G263" s="33">
        <f>B263+D263</f>
        <v>473644.79000000004</v>
      </c>
      <c r="H263" s="34">
        <f>G263/$G$266</f>
        <v>8.9778222491776555E-2</v>
      </c>
    </row>
    <row r="264" spans="1:8" x14ac:dyDescent="0.2">
      <c r="A264" s="35" t="s">
        <v>28</v>
      </c>
      <c r="B264" s="36">
        <v>137009.25</v>
      </c>
      <c r="C264" s="135">
        <f>B264/$B$266</f>
        <v>4.3166034392594636E-2</v>
      </c>
      <c r="D264" s="33">
        <v>151410.49</v>
      </c>
      <c r="E264" s="30">
        <f>D264/$D$266</f>
        <v>7.2041422146836565E-2</v>
      </c>
      <c r="F264" s="38">
        <f>-13957.91+-1690.05</f>
        <v>-15647.96</v>
      </c>
      <c r="G264" s="33">
        <f>B264+D264</f>
        <v>288419.74</v>
      </c>
      <c r="H264" s="34">
        <f>G264/$G$266</f>
        <v>5.4669262990817112E-2</v>
      </c>
    </row>
    <row r="265" spans="1:8" ht="13.5" thickBot="1" x14ac:dyDescent="0.25">
      <c r="A265" s="40" t="s">
        <v>29</v>
      </c>
      <c r="B265" s="41">
        <v>482881.63</v>
      </c>
      <c r="C265" s="136">
        <f>B265/$B$266</f>
        <v>0.15213633421197589</v>
      </c>
      <c r="D265" s="42">
        <v>1467019.64</v>
      </c>
      <c r="E265" s="30">
        <f>D265/$D$266</f>
        <v>0.69801095804485014</v>
      </c>
      <c r="F265" s="44">
        <f>-23244.34+-22824.46</f>
        <v>-46068.800000000003</v>
      </c>
      <c r="G265" s="33">
        <f>B265+D265</f>
        <v>1949901.27</v>
      </c>
      <c r="H265" s="34">
        <f>G265/$G$266</f>
        <v>0.36959906189416264</v>
      </c>
    </row>
    <row r="266" spans="1:8" ht="13.5" thickBot="1" x14ac:dyDescent="0.25">
      <c r="A266" s="46" t="s">
        <v>24</v>
      </c>
      <c r="B266" s="47">
        <f>SUM(B261:B265)</f>
        <v>3174005.9499999997</v>
      </c>
      <c r="C266" s="137">
        <v>1</v>
      </c>
      <c r="D266" s="47">
        <f>SUM(D261:D265)</f>
        <v>2101714.34</v>
      </c>
      <c r="E266" s="48">
        <v>1</v>
      </c>
      <c r="F266" s="49">
        <f>SUM(F261:F265)</f>
        <v>-172128.57</v>
      </c>
      <c r="G266" s="47">
        <f>SUM(G261:G265)</f>
        <v>5275720.290000001</v>
      </c>
      <c r="H266" s="50">
        <f>SUM(H261:H265)</f>
        <v>0.99999999999999978</v>
      </c>
    </row>
    <row r="269" spans="1:8" ht="13.5" thickBot="1" x14ac:dyDescent="0.25">
      <c r="A269" s="22" t="s">
        <v>104</v>
      </c>
    </row>
    <row r="270" spans="1:8" ht="13.5" thickBot="1" x14ac:dyDescent="0.25">
      <c r="A270" s="23" t="s">
        <v>19</v>
      </c>
      <c r="B270" s="24" t="s">
        <v>20</v>
      </c>
      <c r="C270" s="133" t="s">
        <v>21</v>
      </c>
      <c r="D270" s="25" t="s">
        <v>22</v>
      </c>
      <c r="E270" s="26" t="s">
        <v>21</v>
      </c>
      <c r="F270" s="27" t="s">
        <v>23</v>
      </c>
      <c r="G270" s="25" t="s">
        <v>24</v>
      </c>
      <c r="H270" s="25" t="s">
        <v>21</v>
      </c>
    </row>
    <row r="271" spans="1:8" x14ac:dyDescent="0.2">
      <c r="A271" s="28" t="s">
        <v>25</v>
      </c>
      <c r="B271" s="29">
        <v>1589014.6</v>
      </c>
      <c r="C271" s="134">
        <f>B271/B276</f>
        <v>0.52280632817521688</v>
      </c>
      <c r="D271" s="31">
        <v>96823.13</v>
      </c>
      <c r="E271" s="30">
        <f>D271/D276</f>
        <v>4.843903404962404E-2</v>
      </c>
      <c r="F271" s="32">
        <v>-10423.279999999999</v>
      </c>
      <c r="G271" s="33">
        <f>B271+D271</f>
        <v>1685837.73</v>
      </c>
      <c r="H271" s="34">
        <f>G271/G276</f>
        <v>0.33460712026983885</v>
      </c>
    </row>
    <row r="272" spans="1:8" x14ac:dyDescent="0.2">
      <c r="A272" s="35" t="s">
        <v>26</v>
      </c>
      <c r="B272" s="36">
        <v>597777.43999999994</v>
      </c>
      <c r="C272" s="135">
        <f>B272/B276</f>
        <v>0.19667649905317483</v>
      </c>
      <c r="D272" s="29">
        <v>234557.44</v>
      </c>
      <c r="E272" s="30">
        <f>D272/D276</f>
        <v>0.11734526473945478</v>
      </c>
      <c r="F272" s="38">
        <v>-3863.84</v>
      </c>
      <c r="G272" s="33">
        <f>B272+D272</f>
        <v>832334.87999999989</v>
      </c>
      <c r="H272" s="34">
        <f>G272/G276</f>
        <v>0.16520283793680537</v>
      </c>
    </row>
    <row r="273" spans="1:8" x14ac:dyDescent="0.2">
      <c r="A273" s="35" t="s">
        <v>27</v>
      </c>
      <c r="B273" s="36">
        <v>213280.69</v>
      </c>
      <c r="C273" s="135">
        <f>B273/B276</f>
        <v>7.0172101886022131E-2</v>
      </c>
      <c r="D273" s="33">
        <v>158936.29999999999</v>
      </c>
      <c r="E273" s="30">
        <f>D273/D276</f>
        <v>7.9513240766139873E-2</v>
      </c>
      <c r="F273" s="38">
        <v>-5689.1900000000005</v>
      </c>
      <c r="G273" s="33">
        <f>B273+D273</f>
        <v>372216.99</v>
      </c>
      <c r="H273" s="34">
        <f>G273/G276</f>
        <v>7.3878080270161836E-2</v>
      </c>
    </row>
    <row r="274" spans="1:8" x14ac:dyDescent="0.2">
      <c r="A274" s="35" t="s">
        <v>28</v>
      </c>
      <c r="B274" s="36">
        <v>137164.64000000001</v>
      </c>
      <c r="C274" s="135">
        <f>B274/B276</f>
        <v>4.5128938270218216E-2</v>
      </c>
      <c r="D274" s="33">
        <v>164238.29999999999</v>
      </c>
      <c r="E274" s="30">
        <f>D274/D276</f>
        <v>8.2165744961481477E-2</v>
      </c>
      <c r="F274" s="38">
        <v>-5942.69</v>
      </c>
      <c r="G274" s="33">
        <f>B274+D274</f>
        <v>301402.94</v>
      </c>
      <c r="H274" s="34">
        <f>G274/G276</f>
        <v>5.982282161537756E-2</v>
      </c>
    </row>
    <row r="275" spans="1:8" ht="13.5" thickBot="1" x14ac:dyDescent="0.25">
      <c r="A275" s="40" t="s">
        <v>29</v>
      </c>
      <c r="B275" s="41">
        <v>502156.98</v>
      </c>
      <c r="C275" s="136">
        <f>B275/B276</f>
        <v>0.16521613261536791</v>
      </c>
      <c r="D275" s="42">
        <v>1344310.66</v>
      </c>
      <c r="E275" s="30">
        <f>D275/D276</f>
        <v>0.67253671548329985</v>
      </c>
      <c r="F275" s="44">
        <v>-48690.19</v>
      </c>
      <c r="G275" s="33">
        <f>B275+D275</f>
        <v>1846467.64</v>
      </c>
      <c r="H275" s="34">
        <f>G275/G276</f>
        <v>0.36648913990781634</v>
      </c>
    </row>
    <row r="276" spans="1:8" ht="13.5" thickBot="1" x14ac:dyDescent="0.25">
      <c r="A276" s="46" t="s">
        <v>24</v>
      </c>
      <c r="B276" s="47">
        <f>SUM(B271:B275)</f>
        <v>3039394.35</v>
      </c>
      <c r="C276" s="137">
        <f>SUM(C271:C275)</f>
        <v>1</v>
      </c>
      <c r="D276" s="47">
        <v>1998865.8299999998</v>
      </c>
      <c r="E276" s="48">
        <f>SUM(E271:E275)</f>
        <v>1</v>
      </c>
      <c r="F276" s="49">
        <f>SUM(F271:F275)</f>
        <v>-74609.19</v>
      </c>
      <c r="G276" s="47">
        <f>SUM(G271:G275)</f>
        <v>5038260.18</v>
      </c>
      <c r="H276" s="50">
        <f>SUM(H271:H275)</f>
        <v>1</v>
      </c>
    </row>
    <row r="279" spans="1:8" ht="13.5" thickBot="1" x14ac:dyDescent="0.25">
      <c r="A279" s="22" t="s">
        <v>101</v>
      </c>
    </row>
    <row r="280" spans="1:8" ht="13.5" thickBot="1" x14ac:dyDescent="0.25">
      <c r="A280" s="23" t="s">
        <v>19</v>
      </c>
      <c r="B280" s="24" t="s">
        <v>20</v>
      </c>
      <c r="C280" s="133" t="s">
        <v>21</v>
      </c>
      <c r="D280" s="25" t="s">
        <v>22</v>
      </c>
      <c r="E280" s="26" t="s">
        <v>21</v>
      </c>
      <c r="F280" s="27" t="s">
        <v>23</v>
      </c>
      <c r="G280" s="25" t="s">
        <v>24</v>
      </c>
      <c r="H280" s="25" t="s">
        <v>21</v>
      </c>
    </row>
    <row r="281" spans="1:8" x14ac:dyDescent="0.2">
      <c r="A281" s="28" t="s">
        <v>25</v>
      </c>
      <c r="B281" s="29">
        <v>1742242.81</v>
      </c>
      <c r="C281" s="134">
        <f>B281/B286</f>
        <v>0.5798542508817125</v>
      </c>
      <c r="D281" s="31">
        <v>121175.96</v>
      </c>
      <c r="E281" s="30">
        <f>D281/D286</f>
        <v>6.4085154631691607E-2</v>
      </c>
      <c r="F281" s="32">
        <f>-30131.37+-6587.48</f>
        <v>-36718.85</v>
      </c>
      <c r="G281" s="33">
        <f t="shared" ref="G281:G286" si="73">B281+D281</f>
        <v>1863418.77</v>
      </c>
      <c r="H281" s="34">
        <f>G281/G286</f>
        <v>0.3806406307257531</v>
      </c>
    </row>
    <row r="282" spans="1:8" x14ac:dyDescent="0.2">
      <c r="A282" s="35" t="s">
        <v>26</v>
      </c>
      <c r="B282" s="36">
        <v>419553.84</v>
      </c>
      <c r="C282" s="135">
        <f>B282/B286</f>
        <v>0.1396361495661709</v>
      </c>
      <c r="D282" s="29">
        <v>216304.22</v>
      </c>
      <c r="E282" s="30">
        <f>D282/D286</f>
        <v>0.11439471481131604</v>
      </c>
      <c r="F282" s="38">
        <f>-59594.13+-1820.47</f>
        <v>-61414.6</v>
      </c>
      <c r="G282" s="33">
        <f t="shared" si="73"/>
        <v>635858.06000000006</v>
      </c>
      <c r="H282" s="34">
        <f>G282/G286</f>
        <v>0.12988675272947572</v>
      </c>
    </row>
    <row r="283" spans="1:8" x14ac:dyDescent="0.2">
      <c r="A283" s="35" t="s">
        <v>27</v>
      </c>
      <c r="B283" s="36">
        <v>209544.61</v>
      </c>
      <c r="C283" s="135">
        <f>B283/B286</f>
        <v>6.9740757235698156E-2</v>
      </c>
      <c r="D283" s="33">
        <v>159895.07</v>
      </c>
      <c r="E283" s="30">
        <f>D283/D286</f>
        <v>8.4562154785447166E-2</v>
      </c>
      <c r="F283" s="38">
        <f>-41086.94+-3652.51</f>
        <v>-44739.450000000004</v>
      </c>
      <c r="G283" s="33">
        <f t="shared" si="73"/>
        <v>369439.68</v>
      </c>
      <c r="H283" s="34">
        <f>G283/G286</f>
        <v>7.5465459012372407E-2</v>
      </c>
    </row>
    <row r="284" spans="1:8" x14ac:dyDescent="0.2">
      <c r="A284" s="35" t="s">
        <v>28</v>
      </c>
      <c r="B284" s="36">
        <v>115163.06</v>
      </c>
      <c r="C284" s="135">
        <f>B284/B286</f>
        <v>3.8328635654146112E-2</v>
      </c>
      <c r="D284" s="33">
        <v>122811.16</v>
      </c>
      <c r="E284" s="30">
        <f>D284/D286</f>
        <v>6.4949946995240801E-2</v>
      </c>
      <c r="F284" s="38">
        <f>-10458.99+-2769.95</f>
        <v>-13228.939999999999</v>
      </c>
      <c r="G284" s="33">
        <f t="shared" si="73"/>
        <v>237974.22</v>
      </c>
      <c r="H284" s="34">
        <f>G284/G286</f>
        <v>4.861100395445149E-2</v>
      </c>
    </row>
    <row r="285" spans="1:8" ht="13.5" thickBot="1" x14ac:dyDescent="0.25">
      <c r="A285" s="40" t="s">
        <v>29</v>
      </c>
      <c r="B285" s="41">
        <v>518117.63</v>
      </c>
      <c r="C285" s="136">
        <f>B285/B286</f>
        <v>0.17244020666227244</v>
      </c>
      <c r="D285" s="42">
        <v>1270672.1000000001</v>
      </c>
      <c r="E285" s="30">
        <f>D285/D286</f>
        <v>0.67200802877630428</v>
      </c>
      <c r="F285" s="44">
        <f>-24327.9+-23042.78</f>
        <v>-47370.68</v>
      </c>
      <c r="G285" s="33">
        <f t="shared" si="73"/>
        <v>1788789.73</v>
      </c>
      <c r="H285" s="34">
        <f>G285/G286</f>
        <v>0.3653961535779473</v>
      </c>
    </row>
    <row r="286" spans="1:8" ht="13.5" thickBot="1" x14ac:dyDescent="0.25">
      <c r="A286" s="46" t="s">
        <v>24</v>
      </c>
      <c r="B286" s="47">
        <f>SUM(B281:B285)</f>
        <v>3004621.9499999997</v>
      </c>
      <c r="C286" s="137">
        <f>SUM(C281:C285)</f>
        <v>1</v>
      </c>
      <c r="D286" s="47">
        <f>SUM(D281:D285)</f>
        <v>1890858.5100000002</v>
      </c>
      <c r="E286" s="48">
        <f>SUM(E281:E285)</f>
        <v>0.99999999999999989</v>
      </c>
      <c r="F286" s="49">
        <f>SUM(F281:F285)</f>
        <v>-203472.52</v>
      </c>
      <c r="G286" s="47">
        <f t="shared" si="73"/>
        <v>4895480.46</v>
      </c>
      <c r="H286" s="50">
        <f>SUM(H281:H285)</f>
        <v>1</v>
      </c>
    </row>
    <row r="289" spans="1:8" ht="13.5" thickBot="1" x14ac:dyDescent="0.25">
      <c r="A289" s="22" t="s">
        <v>100</v>
      </c>
    </row>
    <row r="290" spans="1:8" ht="13.5" thickBot="1" x14ac:dyDescent="0.25">
      <c r="A290" s="23" t="s">
        <v>19</v>
      </c>
      <c r="B290" s="24" t="s">
        <v>20</v>
      </c>
      <c r="C290" s="133" t="s">
        <v>21</v>
      </c>
      <c r="D290" s="25" t="s">
        <v>22</v>
      </c>
      <c r="E290" s="26" t="s">
        <v>21</v>
      </c>
      <c r="F290" s="27" t="s">
        <v>23</v>
      </c>
      <c r="G290" s="25" t="s">
        <v>24</v>
      </c>
      <c r="H290" s="25" t="s">
        <v>21</v>
      </c>
    </row>
    <row r="291" spans="1:8" x14ac:dyDescent="0.2">
      <c r="A291" s="28" t="s">
        <v>25</v>
      </c>
      <c r="B291" s="29">
        <v>1503298.37</v>
      </c>
      <c r="C291" s="134">
        <f>B291/B296</f>
        <v>0.53420909914196046</v>
      </c>
      <c r="D291" s="31">
        <v>99609.06</v>
      </c>
      <c r="E291" s="30">
        <f>D291/D296</f>
        <v>5.3839206484439871E-2</v>
      </c>
      <c r="F291" s="32">
        <f>-25468.62+-1102</f>
        <v>-26570.62</v>
      </c>
      <c r="G291" s="33">
        <f t="shared" ref="G291:G296" si="74">B291+D291</f>
        <v>1602907.4300000002</v>
      </c>
      <c r="H291" s="34">
        <f>G291/G296</f>
        <v>0.3436629311278816</v>
      </c>
    </row>
    <row r="292" spans="1:8" x14ac:dyDescent="0.2">
      <c r="A292" s="35" t="s">
        <v>26</v>
      </c>
      <c r="B292" s="36">
        <v>406893.32</v>
      </c>
      <c r="C292" s="135">
        <f>B292/B296</f>
        <v>0.14459279558992763</v>
      </c>
      <c r="D292" s="29">
        <v>216424.74</v>
      </c>
      <c r="E292" s="30">
        <f>D292/D296</f>
        <v>0.116978679100086</v>
      </c>
      <c r="F292" s="38">
        <f>-31927.92+-1344.26</f>
        <v>-33272.18</v>
      </c>
      <c r="G292" s="33">
        <f t="shared" si="74"/>
        <v>623318.06000000006</v>
      </c>
      <c r="H292" s="34">
        <f>G292/G296</f>
        <v>0.13363922801489839</v>
      </c>
    </row>
    <row r="293" spans="1:8" x14ac:dyDescent="0.2">
      <c r="A293" s="35" t="s">
        <v>27</v>
      </c>
      <c r="B293" s="36">
        <v>223360.34</v>
      </c>
      <c r="C293" s="135">
        <f>B293/B296</f>
        <v>7.9372883252339307E-2</v>
      </c>
      <c r="D293" s="33">
        <v>175654.96</v>
      </c>
      <c r="E293" s="30">
        <f>D293/D296</f>
        <v>9.4942404450519116E-2</v>
      </c>
      <c r="F293" s="38">
        <f>-8168.1+-1613.47</f>
        <v>-9781.57</v>
      </c>
      <c r="G293" s="33">
        <f t="shared" si="74"/>
        <v>399015.3</v>
      </c>
      <c r="H293" s="34">
        <f>G293/G296</f>
        <v>8.5548775304429781E-2</v>
      </c>
    </row>
    <row r="294" spans="1:8" x14ac:dyDescent="0.2">
      <c r="A294" s="35" t="s">
        <v>28</v>
      </c>
      <c r="B294" s="36">
        <v>136850.89000000001</v>
      </c>
      <c r="C294" s="135">
        <f>B294/B296</f>
        <v>4.8631058293288461E-2</v>
      </c>
      <c r="D294" s="33">
        <v>148732.25</v>
      </c>
      <c r="E294" s="30">
        <f>D294/D296</f>
        <v>8.0390541971235671E-2</v>
      </c>
      <c r="F294" s="38">
        <f>-3310.5+-1388.2</f>
        <v>-4698.7</v>
      </c>
      <c r="G294" s="33">
        <f t="shared" si="74"/>
        <v>285583.14</v>
      </c>
      <c r="H294" s="34">
        <f>G294/G296</f>
        <v>6.1228950054279904E-2</v>
      </c>
    </row>
    <row r="295" spans="1:8" ht="13.5" thickBot="1" x14ac:dyDescent="0.25">
      <c r="A295" s="40" t="s">
        <v>29</v>
      </c>
      <c r="B295" s="41">
        <f>90324.09+64326.4+389010.17</f>
        <v>543660.65999999992</v>
      </c>
      <c r="C295" s="136">
        <f>B295/B296</f>
        <v>0.19319416372248416</v>
      </c>
      <c r="D295" s="42">
        <v>1209700.24</v>
      </c>
      <c r="E295" s="30">
        <f>D295/D296</f>
        <v>0.65384916799371928</v>
      </c>
      <c r="F295" s="44">
        <f>-15898.54+-22431.11</f>
        <v>-38329.65</v>
      </c>
      <c r="G295" s="33">
        <f t="shared" si="74"/>
        <v>1753360.9</v>
      </c>
      <c r="H295" s="34">
        <f>G295/G296</f>
        <v>0.37592011549851034</v>
      </c>
    </row>
    <row r="296" spans="1:8" ht="13.5" thickBot="1" x14ac:dyDescent="0.25">
      <c r="A296" s="46" t="s">
        <v>24</v>
      </c>
      <c r="B296" s="47">
        <f>SUM(B291:B295)</f>
        <v>2814063.58</v>
      </c>
      <c r="C296" s="137">
        <f>SUM(C291:C295)</f>
        <v>1</v>
      </c>
      <c r="D296" s="47">
        <f>SUM(D291:D295)</f>
        <v>1850121.25</v>
      </c>
      <c r="E296" s="48">
        <f>SUM(E291:E295)</f>
        <v>1</v>
      </c>
      <c r="F296" s="49">
        <f>SUM(F291:F295)</f>
        <v>-112652.72</v>
      </c>
      <c r="G296" s="47">
        <f t="shared" si="74"/>
        <v>4664184.83</v>
      </c>
      <c r="H296" s="50">
        <f>SUM(H291:H295)</f>
        <v>0.99999999999999989</v>
      </c>
    </row>
    <row r="299" spans="1:8" ht="13.5" thickBot="1" x14ac:dyDescent="0.25">
      <c r="A299" s="22" t="s">
        <v>72</v>
      </c>
    </row>
    <row r="300" spans="1:8" ht="13.5" thickBot="1" x14ac:dyDescent="0.25">
      <c r="A300" s="23" t="s">
        <v>19</v>
      </c>
      <c r="B300" s="24" t="s">
        <v>20</v>
      </c>
      <c r="C300" s="133" t="s">
        <v>21</v>
      </c>
      <c r="D300" s="25" t="s">
        <v>22</v>
      </c>
      <c r="E300" s="26" t="s">
        <v>21</v>
      </c>
      <c r="F300" s="27" t="s">
        <v>23</v>
      </c>
      <c r="G300" s="25" t="s">
        <v>24</v>
      </c>
      <c r="H300" s="25" t="s">
        <v>21</v>
      </c>
    </row>
    <row r="301" spans="1:8" x14ac:dyDescent="0.2">
      <c r="A301" s="28" t="s">
        <v>25</v>
      </c>
      <c r="B301" s="29">
        <v>1474798.37</v>
      </c>
      <c r="C301" s="134">
        <v>0.55571224094117777</v>
      </c>
      <c r="D301" s="31">
        <v>91746.64</v>
      </c>
      <c r="E301" s="30">
        <v>5.1437481327300222E-2</v>
      </c>
      <c r="F301" s="32">
        <v>-34746.07</v>
      </c>
      <c r="G301" s="33">
        <v>1566545.01</v>
      </c>
      <c r="H301" s="34">
        <v>0.35302088554199401</v>
      </c>
    </row>
    <row r="302" spans="1:8" x14ac:dyDescent="0.2">
      <c r="A302" s="35" t="s">
        <v>26</v>
      </c>
      <c r="B302" s="36">
        <v>433595.76</v>
      </c>
      <c r="C302" s="135">
        <v>0.1633812976428724</v>
      </c>
      <c r="D302" s="29">
        <v>218316.97</v>
      </c>
      <c r="E302" s="30">
        <v>0.12239876106425002</v>
      </c>
      <c r="F302" s="38">
        <v>-42080.25</v>
      </c>
      <c r="G302" s="33">
        <v>651912.73</v>
      </c>
      <c r="H302" s="34">
        <v>0.14690852019674738</v>
      </c>
    </row>
    <row r="303" spans="1:8" x14ac:dyDescent="0.2">
      <c r="A303" s="35" t="s">
        <v>27</v>
      </c>
      <c r="B303" s="36">
        <v>167822.42</v>
      </c>
      <c r="C303" s="135">
        <v>6.3236422683577778E-2</v>
      </c>
      <c r="D303" s="33">
        <v>154612.26999999999</v>
      </c>
      <c r="E303" s="30">
        <v>8.6682910143592168E-2</v>
      </c>
      <c r="F303" s="38">
        <v>-6604.43</v>
      </c>
      <c r="G303" s="33">
        <v>322434.69</v>
      </c>
      <c r="H303" s="34">
        <v>7.2660650710098862E-2</v>
      </c>
    </row>
    <row r="304" spans="1:8" x14ac:dyDescent="0.2">
      <c r="A304" s="35" t="s">
        <v>28</v>
      </c>
      <c r="B304" s="36">
        <v>126508.18</v>
      </c>
      <c r="C304" s="135">
        <v>4.7668986917303056E-2</v>
      </c>
      <c r="D304" s="33">
        <v>124397.26</v>
      </c>
      <c r="E304" s="30">
        <v>6.9742954493127049E-2</v>
      </c>
      <c r="F304" s="38">
        <v>-5095.6499999999996</v>
      </c>
      <c r="G304" s="33">
        <v>250905.44</v>
      </c>
      <c r="H304" s="34">
        <v>5.6541535704807896E-2</v>
      </c>
    </row>
    <row r="305" spans="1:8" ht="13.5" thickBot="1" x14ac:dyDescent="0.25">
      <c r="A305" s="40" t="s">
        <v>29</v>
      </c>
      <c r="B305" s="41">
        <v>451163.85</v>
      </c>
      <c r="C305" s="136">
        <v>0.17000105181506903</v>
      </c>
      <c r="D305" s="42">
        <v>1194580.29</v>
      </c>
      <c r="E305" s="30">
        <v>0.66973789297173048</v>
      </c>
      <c r="F305" s="44">
        <v>-41294.639999999999</v>
      </c>
      <c r="G305" s="33">
        <v>1645744.1400000001</v>
      </c>
      <c r="H305" s="34">
        <v>0.37086840784635189</v>
      </c>
    </row>
    <row r="306" spans="1:8" ht="13.5" thickBot="1" x14ac:dyDescent="0.25">
      <c r="A306" s="46" t="s">
        <v>24</v>
      </c>
      <c r="B306" s="47">
        <v>2653888.58</v>
      </c>
      <c r="C306" s="137">
        <v>1</v>
      </c>
      <c r="D306" s="47">
        <v>1783653.4300000002</v>
      </c>
      <c r="E306" s="48">
        <v>1</v>
      </c>
      <c r="F306" s="49">
        <v>-129821.04</v>
      </c>
      <c r="G306" s="47">
        <v>4437542.01</v>
      </c>
      <c r="H306" s="50">
        <v>1</v>
      </c>
    </row>
    <row r="307" spans="1:8" x14ac:dyDescent="0.2">
      <c r="A307" s="17"/>
      <c r="B307" s="51"/>
      <c r="C307" s="138"/>
      <c r="D307" s="51"/>
      <c r="E307" s="52"/>
      <c r="F307" s="53"/>
      <c r="G307" s="51"/>
      <c r="H307" s="52"/>
    </row>
    <row r="308" spans="1:8" x14ac:dyDescent="0.2">
      <c r="A308" s="17"/>
      <c r="B308" s="51"/>
      <c r="C308" s="138"/>
      <c r="D308" s="51"/>
      <c r="E308" s="52"/>
      <c r="F308" s="53"/>
      <c r="G308" s="51"/>
      <c r="H308" s="52"/>
    </row>
    <row r="309" spans="1:8" ht="13.5" thickBot="1" x14ac:dyDescent="0.25">
      <c r="A309" s="22" t="s">
        <v>71</v>
      </c>
    </row>
    <row r="310" spans="1:8" ht="13.5" thickBot="1" x14ac:dyDescent="0.25">
      <c r="A310" s="23" t="s">
        <v>19</v>
      </c>
      <c r="B310" s="24" t="s">
        <v>20</v>
      </c>
      <c r="C310" s="133" t="s">
        <v>21</v>
      </c>
      <c r="D310" s="25" t="s">
        <v>22</v>
      </c>
      <c r="E310" s="26" t="s">
        <v>21</v>
      </c>
      <c r="F310" s="27" t="s">
        <v>23</v>
      </c>
      <c r="G310" s="25" t="s">
        <v>24</v>
      </c>
      <c r="H310" s="25" t="s">
        <v>21</v>
      </c>
    </row>
    <row r="311" spans="1:8" x14ac:dyDescent="0.2">
      <c r="A311" s="28" t="s">
        <v>25</v>
      </c>
      <c r="B311" s="29">
        <v>1381687.34</v>
      </c>
      <c r="C311" s="134">
        <f>B311/B316</f>
        <v>0.53837459763513951</v>
      </c>
      <c r="D311" s="31">
        <v>84395.45</v>
      </c>
      <c r="E311" s="30">
        <f>D311/D316</f>
        <v>5.0650977572758563E-2</v>
      </c>
      <c r="F311" s="32">
        <f>-25468.62+-1102</f>
        <v>-26570.62</v>
      </c>
      <c r="G311" s="33">
        <f t="shared" ref="G311:G316" si="75">B311+D311</f>
        <v>1466082.79</v>
      </c>
      <c r="H311" s="34">
        <f>G311/G316</f>
        <v>0.34637707218924785</v>
      </c>
    </row>
    <row r="312" spans="1:8" x14ac:dyDescent="0.2">
      <c r="A312" s="35" t="s">
        <v>26</v>
      </c>
      <c r="B312" s="36">
        <v>411226.52</v>
      </c>
      <c r="C312" s="135">
        <f>B312/B316</f>
        <v>0.16023445090109797</v>
      </c>
      <c r="D312" s="29">
        <v>165264.4</v>
      </c>
      <c r="E312" s="30">
        <f>D312/D316</f>
        <v>9.9185482368722488E-2</v>
      </c>
      <c r="F312" s="38">
        <f>-31927.92+-1344.26</f>
        <v>-33272.18</v>
      </c>
      <c r="G312" s="33">
        <f t="shared" si="75"/>
        <v>576490.92000000004</v>
      </c>
      <c r="H312" s="34">
        <f>G312/G316</f>
        <v>0.13620188326014379</v>
      </c>
    </row>
    <row r="313" spans="1:8" x14ac:dyDescent="0.2">
      <c r="A313" s="35" t="s">
        <v>27</v>
      </c>
      <c r="B313" s="36">
        <v>216081.16</v>
      </c>
      <c r="C313" s="135">
        <f>B313/B316</f>
        <v>8.4196043637147458E-2</v>
      </c>
      <c r="D313" s="33">
        <v>143335.17000000001</v>
      </c>
      <c r="E313" s="30">
        <f>D313/D316</f>
        <v>8.6024382606616073E-2</v>
      </c>
      <c r="F313" s="38">
        <f>-8168.1+-1613.47</f>
        <v>-9781.57</v>
      </c>
      <c r="G313" s="33">
        <f t="shared" si="75"/>
        <v>359416.33</v>
      </c>
      <c r="H313" s="34">
        <f>G313/G316</f>
        <v>8.4915788474950002E-2</v>
      </c>
    </row>
    <row r="314" spans="1:8" x14ac:dyDescent="0.2">
      <c r="A314" s="35" t="s">
        <v>28</v>
      </c>
      <c r="B314" s="36">
        <v>105391.47</v>
      </c>
      <c r="C314" s="135">
        <f>B314/B316</f>
        <v>4.1065795866252836E-2</v>
      </c>
      <c r="D314" s="33">
        <v>124681.46</v>
      </c>
      <c r="E314" s="30">
        <f>D314/D316</f>
        <v>7.4829126856943054E-2</v>
      </c>
      <c r="F314" s="38">
        <f>-3310.5+-1388.2</f>
        <v>-4698.7</v>
      </c>
      <c r="G314" s="33">
        <f t="shared" si="75"/>
        <v>230072.93</v>
      </c>
      <c r="H314" s="34">
        <f>G314/G316</f>
        <v>5.4357085716422442E-2</v>
      </c>
    </row>
    <row r="315" spans="1:8" ht="13.5" thickBot="1" x14ac:dyDescent="0.25">
      <c r="A315" s="40" t="s">
        <v>29</v>
      </c>
      <c r="B315" s="41">
        <v>452018.66</v>
      </c>
      <c r="C315" s="136">
        <f>B315/B316</f>
        <v>0.1761291119603621</v>
      </c>
      <c r="D315" s="42">
        <v>1148539.1399999999</v>
      </c>
      <c r="E315" s="30">
        <f>D315/D316</f>
        <v>0.68931003059495988</v>
      </c>
      <c r="F315" s="44">
        <f>-15898.54+-22431.11</f>
        <v>-38329.65</v>
      </c>
      <c r="G315" s="33">
        <f t="shared" si="75"/>
        <v>1600557.7999999998</v>
      </c>
      <c r="H315" s="34">
        <f>G315/G316</f>
        <v>0.37814817035923576</v>
      </c>
    </row>
    <row r="316" spans="1:8" ht="13.5" thickBot="1" x14ac:dyDescent="0.25">
      <c r="A316" s="46" t="s">
        <v>24</v>
      </c>
      <c r="B316" s="47">
        <f>SUM(B311:B315)</f>
        <v>2566405.1500000004</v>
      </c>
      <c r="C316" s="137">
        <f>SUM(C311:C315)</f>
        <v>0.99999999999999989</v>
      </c>
      <c r="D316" s="47">
        <f>SUM(D311:D315)</f>
        <v>1666215.6199999999</v>
      </c>
      <c r="E316" s="48">
        <f>SUM(E311:E315)</f>
        <v>1</v>
      </c>
      <c r="F316" s="49">
        <f>SUM(F311:F315)</f>
        <v>-112652.72</v>
      </c>
      <c r="G316" s="47">
        <f t="shared" si="75"/>
        <v>4232620.7700000005</v>
      </c>
      <c r="H316" s="50">
        <f>SUM(H311:H315)</f>
        <v>0.99999999999999978</v>
      </c>
    </row>
    <row r="317" spans="1:8" x14ac:dyDescent="0.2">
      <c r="A317" s="17"/>
      <c r="B317" s="51"/>
      <c r="C317" s="138"/>
      <c r="D317" s="51"/>
      <c r="E317" s="52"/>
      <c r="F317" s="53"/>
      <c r="G317" s="51"/>
      <c r="H317" s="52"/>
    </row>
    <row r="318" spans="1:8" x14ac:dyDescent="0.2">
      <c r="A318" s="17"/>
      <c r="B318" s="51"/>
      <c r="C318" s="138"/>
      <c r="D318" s="51"/>
      <c r="E318" s="52"/>
      <c r="F318" s="53"/>
      <c r="G318" s="51"/>
      <c r="H318" s="52"/>
    </row>
    <row r="319" spans="1:8" ht="13.5" thickBot="1" x14ac:dyDescent="0.25">
      <c r="A319" s="22" t="s">
        <v>70</v>
      </c>
    </row>
    <row r="320" spans="1:8" ht="13.5" thickBot="1" x14ac:dyDescent="0.25">
      <c r="A320" s="23" t="s">
        <v>19</v>
      </c>
      <c r="B320" s="24" t="s">
        <v>20</v>
      </c>
      <c r="C320" s="133" t="s">
        <v>21</v>
      </c>
      <c r="D320" s="25" t="s">
        <v>22</v>
      </c>
      <c r="E320" s="26" t="s">
        <v>21</v>
      </c>
      <c r="F320" s="27" t="s">
        <v>23</v>
      </c>
      <c r="G320" s="25" t="s">
        <v>24</v>
      </c>
      <c r="H320" s="25" t="s">
        <v>21</v>
      </c>
    </row>
    <row r="321" spans="1:9" x14ac:dyDescent="0.2">
      <c r="A321" s="28" t="s">
        <v>25</v>
      </c>
      <c r="B321" s="29">
        <v>1100155.71</v>
      </c>
      <c r="C321" s="134">
        <f>B321/B326</f>
        <v>0.51457576043486308</v>
      </c>
      <c r="D321" s="31">
        <v>67771.47</v>
      </c>
      <c r="E321" s="30">
        <v>6.1276180915825609E-2</v>
      </c>
      <c r="F321" s="32">
        <f>-26800.73+-2234.28</f>
        <v>-29035.01</v>
      </c>
      <c r="G321" s="33">
        <f t="shared" ref="G321:G326" si="76">B321+D321</f>
        <v>1167927.18</v>
      </c>
      <c r="H321" s="34">
        <f>G321/$G$326</f>
        <v>0.31722171438383878</v>
      </c>
    </row>
    <row r="322" spans="1:9" x14ac:dyDescent="0.2">
      <c r="A322" s="35" t="s">
        <v>26</v>
      </c>
      <c r="B322" s="36">
        <v>373404.3</v>
      </c>
      <c r="C322" s="135">
        <f>B322/B326</f>
        <v>0.1746523695469869</v>
      </c>
      <c r="D322" s="29">
        <v>145877.78</v>
      </c>
      <c r="E322" s="37">
        <v>8.942346573443849E-2</v>
      </c>
      <c r="F322" s="38">
        <f>-34937.94+-934.93</f>
        <v>-35872.870000000003</v>
      </c>
      <c r="G322" s="33">
        <f t="shared" si="76"/>
        <v>519282.07999999996</v>
      </c>
      <c r="H322" s="39">
        <f>G322/$G$326</f>
        <v>0.14104265615807118</v>
      </c>
    </row>
    <row r="323" spans="1:9" x14ac:dyDescent="0.2">
      <c r="A323" s="35" t="s">
        <v>27</v>
      </c>
      <c r="B323" s="36">
        <v>148436.23000000001</v>
      </c>
      <c r="C323" s="135">
        <f>B323/B326</f>
        <v>6.9428068439815901E-2</v>
      </c>
      <c r="D323" s="33">
        <v>140170.76</v>
      </c>
      <c r="E323" s="37">
        <v>8.0228146353748003E-2</v>
      </c>
      <c r="F323" s="38">
        <f>-13154.92+-935.44</f>
        <v>-14090.36</v>
      </c>
      <c r="G323" s="33">
        <f t="shared" si="76"/>
        <v>288606.99</v>
      </c>
      <c r="H323" s="39">
        <f>G323/$G$326</f>
        <v>7.8388794882707849E-2</v>
      </c>
    </row>
    <row r="324" spans="1:9" x14ac:dyDescent="0.2">
      <c r="A324" s="35" t="s">
        <v>28</v>
      </c>
      <c r="B324" s="36">
        <v>124352.32000000001</v>
      </c>
      <c r="C324" s="135">
        <f>B324/B326</f>
        <v>5.8163302743608397E-2</v>
      </c>
      <c r="D324" s="33">
        <v>94316.479999999996</v>
      </c>
      <c r="E324" s="37">
        <v>9.5461243947772556E-2</v>
      </c>
      <c r="F324" s="38">
        <f>-5275.83+-2309.93</f>
        <v>-7585.76</v>
      </c>
      <c r="G324" s="33">
        <f t="shared" si="76"/>
        <v>218668.79999999999</v>
      </c>
      <c r="H324" s="39">
        <f>G324/$G$326</f>
        <v>5.9392822434577441E-2</v>
      </c>
    </row>
    <row r="325" spans="1:9" ht="13.5" thickBot="1" x14ac:dyDescent="0.25">
      <c r="A325" s="40" t="s">
        <v>29</v>
      </c>
      <c r="B325" s="41">
        <f>57778.3+48342.84+285516.18</f>
        <v>391637.32</v>
      </c>
      <c r="C325" s="136">
        <f>B325/B326</f>
        <v>0.1831804988347257</v>
      </c>
      <c r="D325" s="42">
        <v>1095615.44</v>
      </c>
      <c r="E325" s="43">
        <v>0.67361096304821544</v>
      </c>
      <c r="F325" s="44">
        <f>-23669.44+-26467.94</f>
        <v>-50137.38</v>
      </c>
      <c r="G325" s="33">
        <f t="shared" si="76"/>
        <v>1487252.76</v>
      </c>
      <c r="H325" s="45">
        <f>G325/$G$326</f>
        <v>0.40395401214080484</v>
      </c>
      <c r="I325" s="119"/>
    </row>
    <row r="326" spans="1:9" ht="13.5" thickBot="1" x14ac:dyDescent="0.25">
      <c r="A326" s="46" t="s">
        <v>24</v>
      </c>
      <c r="B326" s="47">
        <f>SUM(B321:B325)</f>
        <v>2137985.88</v>
      </c>
      <c r="C326" s="137">
        <f>B326/B326</f>
        <v>1</v>
      </c>
      <c r="D326" s="47">
        <f>SUM(D321:D325)</f>
        <v>1543751.93</v>
      </c>
      <c r="E326" s="48">
        <v>1</v>
      </c>
      <c r="F326" s="49">
        <f>SUM(F321:F325)</f>
        <v>-136721.38</v>
      </c>
      <c r="G326" s="47">
        <f t="shared" si="76"/>
        <v>3681737.8099999996</v>
      </c>
      <c r="H326" s="50">
        <f>SUM(H321:H325)</f>
        <v>1</v>
      </c>
    </row>
    <row r="327" spans="1:9" x14ac:dyDescent="0.2">
      <c r="A327" s="17"/>
      <c r="B327" s="51"/>
      <c r="C327" s="138"/>
      <c r="D327" s="51"/>
      <c r="E327" s="52"/>
      <c r="F327" s="53"/>
      <c r="G327" s="51"/>
      <c r="H327" s="52"/>
    </row>
    <row r="329" spans="1:9" ht="13.5" thickBot="1" x14ac:dyDescent="0.25">
      <c r="A329" s="22" t="s">
        <v>69</v>
      </c>
    </row>
    <row r="330" spans="1:9" ht="13.5" thickBot="1" x14ac:dyDescent="0.25">
      <c r="A330" s="23" t="s">
        <v>19</v>
      </c>
      <c r="B330" s="24" t="s">
        <v>20</v>
      </c>
      <c r="C330" s="133" t="s">
        <v>21</v>
      </c>
      <c r="D330" s="25" t="s">
        <v>22</v>
      </c>
      <c r="E330" s="26" t="s">
        <v>21</v>
      </c>
      <c r="F330" s="27" t="s">
        <v>23</v>
      </c>
      <c r="G330" s="25" t="s">
        <v>24</v>
      </c>
      <c r="H330" s="25" t="s">
        <v>21</v>
      </c>
    </row>
    <row r="331" spans="1:9" x14ac:dyDescent="0.2">
      <c r="A331" s="28" t="s">
        <v>25</v>
      </c>
      <c r="B331" s="29">
        <v>1090102.92</v>
      </c>
      <c r="C331" s="134">
        <f>B331/B336</f>
        <v>0.53123055160949706</v>
      </c>
      <c r="D331" s="31">
        <v>73764.34</v>
      </c>
      <c r="E331" s="30">
        <v>6.1276180915825609E-2</v>
      </c>
      <c r="F331" s="32">
        <f>-23247.15+-1077.37</f>
        <v>-24324.52</v>
      </c>
      <c r="G331" s="33">
        <f t="shared" ref="G331:G336" si="77">B331+D331</f>
        <v>1163867.26</v>
      </c>
      <c r="H331" s="34">
        <v>0.35623044278777427</v>
      </c>
    </row>
    <row r="332" spans="1:9" x14ac:dyDescent="0.2">
      <c r="A332" s="35" t="s">
        <v>26</v>
      </c>
      <c r="B332" s="36">
        <v>303676.18</v>
      </c>
      <c r="C332" s="135">
        <f>B332/B336</f>
        <v>0.14798792082133394</v>
      </c>
      <c r="D332" s="29">
        <v>137522.25</v>
      </c>
      <c r="E332" s="37">
        <v>8.942346573443849E-2</v>
      </c>
      <c r="F332" s="38">
        <f>-50157.71+-2054.61</f>
        <v>-52212.32</v>
      </c>
      <c r="G332" s="33">
        <f t="shared" si="77"/>
        <v>441198.43</v>
      </c>
      <c r="H332" s="39">
        <v>0.11335617687508254</v>
      </c>
    </row>
    <row r="333" spans="1:9" x14ac:dyDescent="0.2">
      <c r="A333" s="35" t="s">
        <v>27</v>
      </c>
      <c r="B333" s="36">
        <v>183906.48</v>
      </c>
      <c r="C333" s="135">
        <f>B333/B336</f>
        <v>8.9621575194900827E-2</v>
      </c>
      <c r="D333" s="33">
        <v>110378.37</v>
      </c>
      <c r="E333" s="37">
        <v>8.0228146353748003E-2</v>
      </c>
      <c r="F333" s="38">
        <f>-7261.86+-3410.75</f>
        <v>-10672.61</v>
      </c>
      <c r="G333" s="33">
        <f t="shared" si="77"/>
        <v>294284.84999999998</v>
      </c>
      <c r="H333" s="39">
        <v>7.4334459459368896E-2</v>
      </c>
    </row>
    <row r="334" spans="1:9" x14ac:dyDescent="0.2">
      <c r="A334" s="35" t="s">
        <v>28</v>
      </c>
      <c r="B334" s="36">
        <v>87084</v>
      </c>
      <c r="C334" s="135">
        <f>B334/B336</f>
        <v>4.2437902428847221E-2</v>
      </c>
      <c r="D334" s="33">
        <v>105084.46</v>
      </c>
      <c r="E334" s="37">
        <v>9.5461243947772556E-2</v>
      </c>
      <c r="F334" s="38">
        <f>-3415.93+-2795.45</f>
        <v>-6211.3799999999992</v>
      </c>
      <c r="G334" s="33">
        <f t="shared" si="77"/>
        <v>192168.46000000002</v>
      </c>
      <c r="H334" s="39">
        <v>6.1958184112929526E-2</v>
      </c>
    </row>
    <row r="335" spans="1:9" ht="13.5" thickBot="1" x14ac:dyDescent="0.25">
      <c r="A335" s="40" t="s">
        <v>29</v>
      </c>
      <c r="B335" s="41">
        <v>387263.98</v>
      </c>
      <c r="C335" s="136">
        <f>B335/B336</f>
        <v>0.18872204994542097</v>
      </c>
      <c r="D335" s="42">
        <v>1037971.47</v>
      </c>
      <c r="E335" s="43">
        <v>0.67361096304821544</v>
      </c>
      <c r="F335" s="44">
        <f>-23698.17+-33026.11</f>
        <v>-56724.28</v>
      </c>
      <c r="G335" s="33">
        <f t="shared" si="77"/>
        <v>1425235.45</v>
      </c>
      <c r="H335" s="45">
        <v>0.39412073676484466</v>
      </c>
      <c r="I335" s="119"/>
    </row>
    <row r="336" spans="1:9" ht="13.5" thickBot="1" x14ac:dyDescent="0.25">
      <c r="A336" s="46" t="s">
        <v>24</v>
      </c>
      <c r="B336" s="47">
        <f>SUM(B331:B335)</f>
        <v>2052033.5599999998</v>
      </c>
      <c r="C336" s="137">
        <f>B336/B336</f>
        <v>1</v>
      </c>
      <c r="D336" s="47">
        <f>SUM(D331:D335)</f>
        <v>1464720.89</v>
      </c>
      <c r="E336" s="48">
        <v>1</v>
      </c>
      <c r="F336" s="49">
        <f>SUM(F331:F335)</f>
        <v>-150145.10999999999</v>
      </c>
      <c r="G336" s="47">
        <f t="shared" si="77"/>
        <v>3516754.4499999997</v>
      </c>
      <c r="H336" s="50">
        <v>1</v>
      </c>
    </row>
    <row r="337" spans="1:9" x14ac:dyDescent="0.2">
      <c r="A337" s="17"/>
      <c r="B337" s="51"/>
      <c r="C337" s="138"/>
      <c r="D337" s="51"/>
      <c r="E337" s="52"/>
      <c r="F337" s="53"/>
      <c r="G337" s="51"/>
      <c r="H337" s="52"/>
    </row>
    <row r="339" spans="1:9" ht="13.5" thickBot="1" x14ac:dyDescent="0.25">
      <c r="A339" s="22" t="s">
        <v>68</v>
      </c>
    </row>
    <row r="340" spans="1:9" ht="13.5" thickBot="1" x14ac:dyDescent="0.25">
      <c r="A340" s="23" t="s">
        <v>19</v>
      </c>
      <c r="B340" s="24" t="s">
        <v>20</v>
      </c>
      <c r="C340" s="133" t="s">
        <v>21</v>
      </c>
      <c r="D340" s="25" t="s">
        <v>22</v>
      </c>
      <c r="E340" s="26" t="s">
        <v>21</v>
      </c>
      <c r="F340" s="27" t="s">
        <v>23</v>
      </c>
      <c r="G340" s="25" t="s">
        <v>24</v>
      </c>
      <c r="H340" s="25" t="s">
        <v>21</v>
      </c>
    </row>
    <row r="341" spans="1:9" x14ac:dyDescent="0.2">
      <c r="A341" s="28" t="s">
        <v>25</v>
      </c>
      <c r="B341" s="29">
        <v>969149</v>
      </c>
      <c r="C341" s="134">
        <f>B341/B346</f>
        <v>0.50759297335779141</v>
      </c>
      <c r="D341" s="31">
        <v>94655.85</v>
      </c>
      <c r="E341" s="30">
        <v>6.1276180915825609E-2</v>
      </c>
      <c r="F341" s="32">
        <f>-2813.03+-28000.08</f>
        <v>-30813.11</v>
      </c>
      <c r="G341" s="33">
        <f t="shared" ref="G341:G346" si="78">B341+D341</f>
        <v>1063804.8500000001</v>
      </c>
      <c r="H341" s="34">
        <v>0.35623044278777427</v>
      </c>
    </row>
    <row r="342" spans="1:9" x14ac:dyDescent="0.2">
      <c r="A342" s="35" t="s">
        <v>26</v>
      </c>
      <c r="B342" s="36">
        <v>305304.46000000002</v>
      </c>
      <c r="C342" s="135">
        <f>B342/B346</f>
        <v>0.159903584103987</v>
      </c>
      <c r="D342" s="29">
        <v>102592.52</v>
      </c>
      <c r="E342" s="37">
        <v>8.942346573443849E-2</v>
      </c>
      <c r="F342" s="38">
        <f>-2507.13+-35349.33</f>
        <v>-37856.46</v>
      </c>
      <c r="G342" s="33">
        <f t="shared" si="78"/>
        <v>407896.98000000004</v>
      </c>
      <c r="H342" s="39">
        <v>0.11335617687508254</v>
      </c>
    </row>
    <row r="343" spans="1:9" x14ac:dyDescent="0.2">
      <c r="A343" s="35" t="s">
        <v>27</v>
      </c>
      <c r="B343" s="36">
        <v>133597.73000000001</v>
      </c>
      <c r="C343" s="135">
        <f>B343/B346</f>
        <v>6.9971974386344532E-2</v>
      </c>
      <c r="D343" s="33">
        <v>107533.67</v>
      </c>
      <c r="E343" s="37">
        <v>8.0228146353748003E-2</v>
      </c>
      <c r="F343" s="38">
        <f>-3766.67+-16060.68</f>
        <v>-19827.349999999999</v>
      </c>
      <c r="G343" s="33">
        <f t="shared" si="78"/>
        <v>241131.40000000002</v>
      </c>
      <c r="H343" s="39">
        <v>7.4334459459368896E-2</v>
      </c>
    </row>
    <row r="344" spans="1:9" x14ac:dyDescent="0.2">
      <c r="A344" s="35" t="s">
        <v>28</v>
      </c>
      <c r="B344" s="36">
        <v>84769.34</v>
      </c>
      <c r="C344" s="135">
        <f>B344/B346</f>
        <v>4.4398045440048495E-2</v>
      </c>
      <c r="D344" s="33">
        <v>94565.39</v>
      </c>
      <c r="E344" s="37">
        <v>9.5461243947772556E-2</v>
      </c>
      <c r="F344" s="38">
        <f>-2346.2+-7847.59</f>
        <v>-10193.790000000001</v>
      </c>
      <c r="G344" s="33">
        <f t="shared" si="78"/>
        <v>179334.72999999998</v>
      </c>
      <c r="H344" s="39">
        <v>6.1958184112929526E-2</v>
      </c>
    </row>
    <row r="345" spans="1:9" ht="13.5" thickBot="1" x14ac:dyDescent="0.25">
      <c r="A345" s="40" t="s">
        <v>29</v>
      </c>
      <c r="B345" s="41">
        <v>416482.89</v>
      </c>
      <c r="C345" s="136">
        <f>B345/B346</f>
        <v>0.21813342271182862</v>
      </c>
      <c r="D345" s="42">
        <v>981391.27</v>
      </c>
      <c r="E345" s="43">
        <v>0.67361096304821544</v>
      </c>
      <c r="F345" s="44">
        <f>-33976.91+-20645.05</f>
        <v>-54621.960000000006</v>
      </c>
      <c r="G345" s="33">
        <f t="shared" si="78"/>
        <v>1397874.1600000001</v>
      </c>
      <c r="H345" s="45">
        <v>0.39412073676484466</v>
      </c>
      <c r="I345" s="119"/>
    </row>
    <row r="346" spans="1:9" ht="13.5" thickBot="1" x14ac:dyDescent="0.25">
      <c r="A346" s="46" t="s">
        <v>24</v>
      </c>
      <c r="B346" s="47">
        <f>SUM(B341:B345)</f>
        <v>1909303.42</v>
      </c>
      <c r="C346" s="137">
        <f>B346/B346</f>
        <v>1</v>
      </c>
      <c r="D346" s="47">
        <f>SUM(D341:D345)</f>
        <v>1380738.7</v>
      </c>
      <c r="E346" s="48">
        <v>1</v>
      </c>
      <c r="F346" s="49">
        <f>SUM(F341:F345)</f>
        <v>-153312.67000000004</v>
      </c>
      <c r="G346" s="47">
        <f t="shared" si="78"/>
        <v>3290042.12</v>
      </c>
      <c r="H346" s="50">
        <v>1</v>
      </c>
    </row>
    <row r="347" spans="1:9" x14ac:dyDescent="0.2">
      <c r="A347" s="17"/>
      <c r="B347" s="51"/>
      <c r="C347" s="138"/>
      <c r="D347" s="51"/>
      <c r="E347" s="52"/>
      <c r="F347" s="53"/>
      <c r="G347" s="51"/>
      <c r="H347" s="52"/>
    </row>
    <row r="349" spans="1:9" ht="13.5" thickBot="1" x14ac:dyDescent="0.25">
      <c r="A349" s="22" t="s">
        <v>67</v>
      </c>
    </row>
    <row r="350" spans="1:9" ht="13.5" thickBot="1" x14ac:dyDescent="0.25">
      <c r="A350" s="23" t="s">
        <v>19</v>
      </c>
      <c r="B350" s="24" t="s">
        <v>20</v>
      </c>
      <c r="C350" s="133" t="s">
        <v>21</v>
      </c>
      <c r="D350" s="25" t="s">
        <v>22</v>
      </c>
      <c r="E350" s="26" t="s">
        <v>21</v>
      </c>
      <c r="F350" s="27" t="s">
        <v>23</v>
      </c>
      <c r="G350" s="25" t="s">
        <v>24</v>
      </c>
      <c r="H350" s="25" t="s">
        <v>21</v>
      </c>
    </row>
    <row r="351" spans="1:9" x14ac:dyDescent="0.2">
      <c r="A351" s="28" t="s">
        <v>25</v>
      </c>
      <c r="B351" s="29">
        <v>1116189.97</v>
      </c>
      <c r="C351" s="134">
        <v>0.5434901254109622</v>
      </c>
      <c r="D351" s="31">
        <v>79896.5</v>
      </c>
      <c r="E351" s="30">
        <v>6.1276180915825609E-2</v>
      </c>
      <c r="F351" s="32">
        <v>-20345.419999999998</v>
      </c>
      <c r="G351" s="33">
        <f>B351+D351</f>
        <v>1196086.47</v>
      </c>
      <c r="H351" s="34">
        <v>0.35623044278777427</v>
      </c>
    </row>
    <row r="352" spans="1:9" x14ac:dyDescent="0.2">
      <c r="A352" s="35" t="s">
        <v>26</v>
      </c>
      <c r="B352" s="36">
        <v>264009.92</v>
      </c>
      <c r="C352" s="135">
        <v>0.12855050518912842</v>
      </c>
      <c r="D352" s="29">
        <v>116597.05</v>
      </c>
      <c r="E352" s="37">
        <v>8.942346573443849E-2</v>
      </c>
      <c r="F352" s="38">
        <v>-27218.91</v>
      </c>
      <c r="G352" s="33">
        <f>B352+D352</f>
        <v>380606.97</v>
      </c>
      <c r="H352" s="39">
        <v>0.11335617687508254</v>
      </c>
    </row>
    <row r="353" spans="1:9" x14ac:dyDescent="0.2">
      <c r="A353" s="35" t="s">
        <v>27</v>
      </c>
      <c r="B353" s="36">
        <v>144979.37</v>
      </c>
      <c r="C353" s="135">
        <v>7.0592693090856459E-2</v>
      </c>
      <c r="D353" s="33">
        <v>104607.5</v>
      </c>
      <c r="E353" s="37">
        <v>8.0228146353748003E-2</v>
      </c>
      <c r="F353" s="38">
        <v>-14587.490000000002</v>
      </c>
      <c r="G353" s="33">
        <f>B353+D353</f>
        <v>249586.87</v>
      </c>
      <c r="H353" s="39">
        <v>7.4334459459368896E-2</v>
      </c>
    </row>
    <row r="354" spans="1:9" x14ac:dyDescent="0.2">
      <c r="A354" s="35" t="s">
        <v>28</v>
      </c>
      <c r="B354" s="36">
        <v>83562.48</v>
      </c>
      <c r="C354" s="135">
        <v>4.0687861345726856E-2</v>
      </c>
      <c r="D354" s="33">
        <v>124469.56</v>
      </c>
      <c r="E354" s="37">
        <v>9.5461243947772556E-2</v>
      </c>
      <c r="F354" s="38">
        <v>-11691.98</v>
      </c>
      <c r="G354" s="33">
        <f>B354+D354</f>
        <v>208032.03999999998</v>
      </c>
      <c r="H354" s="39">
        <v>6.1958184112929526E-2</v>
      </c>
    </row>
    <row r="355" spans="1:9" ht="13.5" thickBot="1" x14ac:dyDescent="0.25">
      <c r="A355" s="40" t="s">
        <v>29</v>
      </c>
      <c r="B355" s="41">
        <v>445002.97</v>
      </c>
      <c r="C355" s="136">
        <v>0.21667881496332619</v>
      </c>
      <c r="D355" s="42">
        <v>878304.71</v>
      </c>
      <c r="E355" s="43">
        <v>0.67361096304821544</v>
      </c>
      <c r="F355" s="44">
        <v>-59431.33</v>
      </c>
      <c r="G355" s="33">
        <f>B355+D355</f>
        <v>1323307.68</v>
      </c>
      <c r="H355" s="45">
        <v>0.39412073676484466</v>
      </c>
      <c r="I355" s="119"/>
    </row>
    <row r="356" spans="1:9" ht="13.5" thickBot="1" x14ac:dyDescent="0.25">
      <c r="A356" s="46" t="s">
        <v>24</v>
      </c>
      <c r="B356" s="47">
        <f>SUM(B351:B355)</f>
        <v>2053744.7099999997</v>
      </c>
      <c r="C356" s="137">
        <v>1</v>
      </c>
      <c r="D356" s="47">
        <f>SUM(D351:D355)</f>
        <v>1303875.3199999998</v>
      </c>
      <c r="E356" s="48">
        <v>1</v>
      </c>
      <c r="F356" s="49">
        <f>SUM(F351:F355)</f>
        <v>-133275.13</v>
      </c>
      <c r="G356" s="47">
        <f>SUM(G351:G355)</f>
        <v>3357620.0300000003</v>
      </c>
      <c r="H356" s="50">
        <v>1</v>
      </c>
    </row>
    <row r="357" spans="1:9" x14ac:dyDescent="0.2">
      <c r="A357" s="17"/>
      <c r="B357" s="51"/>
      <c r="C357" s="138"/>
      <c r="D357" s="51"/>
      <c r="E357" s="52"/>
      <c r="F357" s="53"/>
      <c r="G357" s="51"/>
      <c r="H357" s="52"/>
    </row>
    <row r="359" spans="1:9" ht="13.5" thickBot="1" x14ac:dyDescent="0.25">
      <c r="A359" s="22" t="s">
        <v>66</v>
      </c>
    </row>
    <row r="360" spans="1:9" ht="13.5" thickBot="1" x14ac:dyDescent="0.25">
      <c r="A360" s="23" t="s">
        <v>19</v>
      </c>
      <c r="B360" s="24" t="s">
        <v>20</v>
      </c>
      <c r="C360" s="133" t="s">
        <v>21</v>
      </c>
      <c r="D360" s="25" t="s">
        <v>22</v>
      </c>
      <c r="E360" s="26" t="s">
        <v>21</v>
      </c>
      <c r="F360" s="27" t="s">
        <v>23</v>
      </c>
      <c r="G360" s="25" t="s">
        <v>24</v>
      </c>
      <c r="H360" s="25" t="s">
        <v>21</v>
      </c>
    </row>
    <row r="361" spans="1:9" x14ac:dyDescent="0.2">
      <c r="A361" s="28" t="s">
        <v>25</v>
      </c>
      <c r="B361" s="29">
        <v>930581.01</v>
      </c>
      <c r="C361" s="134">
        <f>B361/B366</f>
        <v>0.46175174353171522</v>
      </c>
      <c r="D361" s="31">
        <v>73882.45</v>
      </c>
      <c r="E361" s="30">
        <f>D361/D366</f>
        <v>5.9116843647382858E-2</v>
      </c>
      <c r="F361" s="32">
        <f>-18340.36+-2317.46</f>
        <v>-20657.82</v>
      </c>
      <c r="G361" s="33">
        <f>B361+D361</f>
        <v>1004463.46</v>
      </c>
      <c r="H361" s="34">
        <f>G361/G366</f>
        <v>0.30763659725656822</v>
      </c>
    </row>
    <row r="362" spans="1:9" x14ac:dyDescent="0.2">
      <c r="A362" s="35" t="s">
        <v>26</v>
      </c>
      <c r="B362" s="36">
        <v>321594.74</v>
      </c>
      <c r="C362" s="135">
        <f>B362/B366</f>
        <v>0.15957442749194789</v>
      </c>
      <c r="D362" s="29">
        <v>113257.72</v>
      </c>
      <c r="E362" s="37">
        <f>D362/D366</f>
        <v>9.0622860031023156E-2</v>
      </c>
      <c r="F362" s="38">
        <f>-39691.12+-2070.29</f>
        <v>-41761.410000000003</v>
      </c>
      <c r="G362" s="33">
        <f>B362+D362</f>
        <v>434852.45999999996</v>
      </c>
      <c r="H362" s="39">
        <f>G362/G366</f>
        <v>0.13318207822417744</v>
      </c>
    </row>
    <row r="363" spans="1:9" x14ac:dyDescent="0.2">
      <c r="A363" s="35" t="s">
        <v>27</v>
      </c>
      <c r="B363" s="36">
        <v>177185.79</v>
      </c>
      <c r="C363" s="135">
        <f>B363/B366</f>
        <v>8.7919102778106717E-2</v>
      </c>
      <c r="D363" s="33">
        <v>119981.26</v>
      </c>
      <c r="E363" s="37">
        <f>D363/D366</f>
        <v>9.6002682477854914E-2</v>
      </c>
      <c r="F363" s="38">
        <f>-15902.54+-3072.84</f>
        <v>-18975.38</v>
      </c>
      <c r="G363" s="33">
        <f>B363+D363</f>
        <v>297167.05</v>
      </c>
      <c r="H363" s="39">
        <f>G363/G366</f>
        <v>9.1013226184228219E-2</v>
      </c>
    </row>
    <row r="364" spans="1:9" x14ac:dyDescent="0.2">
      <c r="A364" s="35" t="s">
        <v>28</v>
      </c>
      <c r="B364" s="36">
        <v>126919.08</v>
      </c>
      <c r="C364" s="135">
        <f>B364/B366</f>
        <v>6.2976899214224502E-2</v>
      </c>
      <c r="D364" s="33">
        <v>101230.23</v>
      </c>
      <c r="E364" s="37">
        <f>D364/D366</f>
        <v>8.099909625761742E-2</v>
      </c>
      <c r="F364" s="38">
        <f>-7857.94+-2839.94</f>
        <v>-10697.88</v>
      </c>
      <c r="G364" s="33">
        <f>B364+D364</f>
        <v>228149.31</v>
      </c>
      <c r="H364" s="39">
        <f>G364/G366</f>
        <v>6.9875192269148276E-2</v>
      </c>
    </row>
    <row r="365" spans="1:9" ht="13.5" thickBot="1" x14ac:dyDescent="0.25">
      <c r="A365" s="40" t="s">
        <v>29</v>
      </c>
      <c r="B365" s="41">
        <v>459046.93</v>
      </c>
      <c r="C365" s="136">
        <f>B365/B366</f>
        <v>0.22777782698400564</v>
      </c>
      <c r="D365" s="42">
        <v>841418.21</v>
      </c>
      <c r="E365" s="43">
        <f>D365/D366</f>
        <v>0.67325851758612176</v>
      </c>
      <c r="F365" s="44">
        <f>-31263.57+-31094.27</f>
        <v>-62357.84</v>
      </c>
      <c r="G365" s="33">
        <f>B365+D365</f>
        <v>1300465.1399999999</v>
      </c>
      <c r="H365" s="45">
        <f>G365/G366</f>
        <v>0.39829290606587781</v>
      </c>
      <c r="I365" s="119"/>
    </row>
    <row r="366" spans="1:9" ht="13.5" thickBot="1" x14ac:dyDescent="0.25">
      <c r="A366" s="46" t="s">
        <v>24</v>
      </c>
      <c r="B366" s="47">
        <f>SUM(B361:B365)</f>
        <v>2015327.55</v>
      </c>
      <c r="C366" s="137">
        <f>B366/B366</f>
        <v>1</v>
      </c>
      <c r="D366" s="47">
        <f>SUM(D361:D365)</f>
        <v>1249769.8699999999</v>
      </c>
      <c r="E366" s="48">
        <f>D366/D366</f>
        <v>1</v>
      </c>
      <c r="F366" s="49">
        <f>SUM(F361:F365)</f>
        <v>-154450.33000000002</v>
      </c>
      <c r="G366" s="47">
        <f>SUM(G361:G365)</f>
        <v>3265097.42</v>
      </c>
      <c r="H366" s="50">
        <f>G366/G366</f>
        <v>1</v>
      </c>
    </row>
    <row r="369" spans="1:9" ht="13.5" thickBot="1" x14ac:dyDescent="0.25">
      <c r="A369" s="22" t="s">
        <v>65</v>
      </c>
    </row>
    <row r="370" spans="1:9" ht="13.5" thickBot="1" x14ac:dyDescent="0.25">
      <c r="A370" s="23" t="s">
        <v>19</v>
      </c>
      <c r="B370" s="24" t="s">
        <v>20</v>
      </c>
      <c r="C370" s="133" t="s">
        <v>21</v>
      </c>
      <c r="D370" s="25" t="s">
        <v>22</v>
      </c>
      <c r="E370" s="26" t="s">
        <v>21</v>
      </c>
      <c r="F370" s="27" t="s">
        <v>23</v>
      </c>
      <c r="G370" s="25" t="s">
        <v>24</v>
      </c>
      <c r="H370" s="25" t="s">
        <v>21</v>
      </c>
    </row>
    <row r="371" spans="1:9" x14ac:dyDescent="0.2">
      <c r="A371" s="28" t="s">
        <v>25</v>
      </c>
      <c r="B371" s="29">
        <v>1139249.28</v>
      </c>
      <c r="C371" s="134">
        <f>B371/B376</f>
        <v>0.50565838414354436</v>
      </c>
      <c r="D371" s="31">
        <v>82068.53</v>
      </c>
      <c r="E371" s="30">
        <f>D371/D376</f>
        <v>6.8313472876776402E-2</v>
      </c>
      <c r="F371" s="32">
        <f>-3569.97+-19789.57</f>
        <v>-23359.54</v>
      </c>
      <c r="G371" s="33">
        <f>B371+D371</f>
        <v>1221317.81</v>
      </c>
      <c r="H371" s="34">
        <f>G371/G376</f>
        <v>0.35355897089756783</v>
      </c>
    </row>
    <row r="372" spans="1:9" x14ac:dyDescent="0.2">
      <c r="A372" s="35" t="s">
        <v>26</v>
      </c>
      <c r="B372" s="36">
        <v>322809.32</v>
      </c>
      <c r="C372" s="135">
        <f>B372/B376</f>
        <v>0.143279650909831</v>
      </c>
      <c r="D372" s="29">
        <v>158521.09</v>
      </c>
      <c r="E372" s="37">
        <f>D372/D376</f>
        <v>0.13195223774706372</v>
      </c>
      <c r="F372" s="38">
        <f>-4482.33+-29857.71</f>
        <v>-34340.04</v>
      </c>
      <c r="G372" s="33">
        <f>B372+D372</f>
        <v>481330.41000000003</v>
      </c>
      <c r="H372" s="39">
        <f>G372/G376</f>
        <v>0.13934021352010284</v>
      </c>
    </row>
    <row r="373" spans="1:9" x14ac:dyDescent="0.2">
      <c r="A373" s="35" t="s">
        <v>27</v>
      </c>
      <c r="B373" s="36">
        <v>205983.62</v>
      </c>
      <c r="C373" s="135">
        <f>B373/B376</f>
        <v>9.1426298245488341E-2</v>
      </c>
      <c r="D373" s="33">
        <v>102862.24</v>
      </c>
      <c r="E373" s="37">
        <f>D373/D376</f>
        <v>8.5622062955001937E-2</v>
      </c>
      <c r="F373" s="38">
        <f>-1423.04+-9534.55</f>
        <v>-10957.59</v>
      </c>
      <c r="G373" s="33">
        <f>B373+D373</f>
        <v>308845.86</v>
      </c>
      <c r="H373" s="39">
        <f>G373/G376</f>
        <v>8.9407706604699641E-2</v>
      </c>
    </row>
    <row r="374" spans="1:9" x14ac:dyDescent="0.2">
      <c r="A374" s="35" t="s">
        <v>28</v>
      </c>
      <c r="B374" s="36">
        <v>109527.56</v>
      </c>
      <c r="C374" s="135">
        <f>B374/B376</f>
        <v>4.8614056625767711E-2</v>
      </c>
      <c r="D374" s="33">
        <v>109112.27</v>
      </c>
      <c r="E374" s="37">
        <f>D374/D376</f>
        <v>9.0824559635325541E-2</v>
      </c>
      <c r="F374" s="38">
        <f>-4783.47+-3268.04</f>
        <v>-8051.51</v>
      </c>
      <c r="G374" s="33">
        <f>B374+D374</f>
        <v>218639.83000000002</v>
      </c>
      <c r="H374" s="39">
        <f>G374/G376</f>
        <v>6.3293986756828818E-2</v>
      </c>
    </row>
    <row r="375" spans="1:9" ht="13.5" thickBot="1" x14ac:dyDescent="0.25">
      <c r="A375" s="40" t="s">
        <v>29</v>
      </c>
      <c r="B375" s="41">
        <v>475432.08</v>
      </c>
      <c r="C375" s="136">
        <f>B375/B376</f>
        <v>0.21102161007536849</v>
      </c>
      <c r="D375" s="42">
        <v>748787.91</v>
      </c>
      <c r="E375" s="43">
        <f>D375/D376</f>
        <v>0.62328766678583236</v>
      </c>
      <c r="F375" s="44">
        <f>-24625.9+-14071.85</f>
        <v>-38697.75</v>
      </c>
      <c r="G375" s="33">
        <f>B375+D375</f>
        <v>1224219.99</v>
      </c>
      <c r="H375" s="45">
        <f>G375/G376</f>
        <v>0.35439912222080078</v>
      </c>
      <c r="I375" s="119"/>
    </row>
    <row r="376" spans="1:9" ht="13.5" thickBot="1" x14ac:dyDescent="0.25">
      <c r="A376" s="46" t="s">
        <v>24</v>
      </c>
      <c r="B376" s="47">
        <f>SUM(B371:B375)</f>
        <v>2253001.8600000003</v>
      </c>
      <c r="C376" s="137">
        <f>B376/B376</f>
        <v>1</v>
      </c>
      <c r="D376" s="47">
        <f>SUM(D371:D375)</f>
        <v>1201352.04</v>
      </c>
      <c r="E376" s="48">
        <f>D376/D376</f>
        <v>1</v>
      </c>
      <c r="F376" s="49">
        <f>SUM(F371:F375)</f>
        <v>-115406.43</v>
      </c>
      <c r="G376" s="47">
        <f>SUM(G371:G375)</f>
        <v>3454353.9000000004</v>
      </c>
      <c r="H376" s="50">
        <f>G376/G376</f>
        <v>1</v>
      </c>
    </row>
    <row r="379" spans="1:9" ht="13.5" thickBot="1" x14ac:dyDescent="0.25">
      <c r="A379" s="22" t="s">
        <v>63</v>
      </c>
    </row>
    <row r="380" spans="1:9" ht="13.5" thickBot="1" x14ac:dyDescent="0.25">
      <c r="A380" s="23" t="s">
        <v>19</v>
      </c>
      <c r="B380" s="24" t="s">
        <v>20</v>
      </c>
      <c r="C380" s="133" t="s">
        <v>21</v>
      </c>
      <c r="D380" s="25" t="s">
        <v>22</v>
      </c>
      <c r="E380" s="26" t="s">
        <v>21</v>
      </c>
      <c r="F380" s="27" t="s">
        <v>23</v>
      </c>
      <c r="G380" s="25" t="s">
        <v>24</v>
      </c>
      <c r="H380" s="25" t="s">
        <v>21</v>
      </c>
    </row>
    <row r="381" spans="1:9" x14ac:dyDescent="0.2">
      <c r="A381" s="28" t="s">
        <v>25</v>
      </c>
      <c r="B381" s="29">
        <v>1120243.43</v>
      </c>
      <c r="C381" s="134">
        <f>B381/B386</f>
        <v>0.51122825612312994</v>
      </c>
      <c r="D381" s="31">
        <v>75831.100000000006</v>
      </c>
      <c r="E381" s="30">
        <f>D381/D386</f>
        <v>6.8868921076516695E-2</v>
      </c>
      <c r="F381" s="32">
        <f>-14402.49+-3108.63</f>
        <v>-17511.12</v>
      </c>
      <c r="G381" s="33">
        <f>B381+D381</f>
        <v>1196074.53</v>
      </c>
      <c r="H381" s="34">
        <f>G381/G386</f>
        <v>0.36328661602649359</v>
      </c>
    </row>
    <row r="382" spans="1:9" x14ac:dyDescent="0.2">
      <c r="A382" s="35" t="s">
        <v>26</v>
      </c>
      <c r="B382" s="36">
        <v>314481.84000000003</v>
      </c>
      <c r="C382" s="135">
        <f>B382/B386</f>
        <v>0.14351523815283004</v>
      </c>
      <c r="D382" s="29">
        <v>120438.48</v>
      </c>
      <c r="E382" s="37">
        <f>D382/D386</f>
        <v>0.10938082361584672</v>
      </c>
      <c r="F382" s="38">
        <f>-38175.43+-2144.01</f>
        <v>-40319.440000000002</v>
      </c>
      <c r="G382" s="33">
        <f>B382+D382</f>
        <v>434920.32</v>
      </c>
      <c r="H382" s="39">
        <f>G382/G386</f>
        <v>0.13209940294770739</v>
      </c>
    </row>
    <row r="383" spans="1:9" x14ac:dyDescent="0.2">
      <c r="A383" s="35" t="s">
        <v>27</v>
      </c>
      <c r="B383" s="36">
        <v>176026.6</v>
      </c>
      <c r="C383" s="135">
        <f>B383/B386</f>
        <v>8.0330550788665425E-2</v>
      </c>
      <c r="D383" s="33">
        <v>119909.29</v>
      </c>
      <c r="E383" s="37">
        <f>D383/D386</f>
        <v>0.10890021942647743</v>
      </c>
      <c r="F383" s="38">
        <f>-7394.52+-3957.35</f>
        <v>-11351.87</v>
      </c>
      <c r="G383" s="33">
        <f>B383+D383</f>
        <v>295935.89</v>
      </c>
      <c r="H383" s="39">
        <f>G383/G386</f>
        <v>8.9885325155187989E-2</v>
      </c>
    </row>
    <row r="384" spans="1:9" x14ac:dyDescent="0.2">
      <c r="A384" s="35" t="s">
        <v>28</v>
      </c>
      <c r="B384" s="36">
        <v>122047.06</v>
      </c>
      <c r="C384" s="135">
        <f>B384/B386</f>
        <v>5.5696738742538318E-2</v>
      </c>
      <c r="D384" s="33">
        <v>86969.37</v>
      </c>
      <c r="E384" s="37">
        <f>D384/D386</f>
        <v>7.8984568054589463E-2</v>
      </c>
      <c r="F384" s="38">
        <f>-5173.25+-4707.43</f>
        <v>-9880.68</v>
      </c>
      <c r="G384" s="33">
        <f>B384+D384</f>
        <v>209016.43</v>
      </c>
      <c r="H384" s="39">
        <f>G384/G386</f>
        <v>6.348506689515282E-2</v>
      </c>
    </row>
    <row r="385" spans="1:9" ht="13.5" thickBot="1" x14ac:dyDescent="0.25">
      <c r="A385" s="40" t="s">
        <v>29</v>
      </c>
      <c r="B385" s="41">
        <v>458479.46</v>
      </c>
      <c r="C385" s="136">
        <f>B385/B386</f>
        <v>0.20922921619283619</v>
      </c>
      <c r="D385" s="42">
        <v>697944.95</v>
      </c>
      <c r="E385" s="43">
        <f>D385/D386</f>
        <v>0.63386546782656972</v>
      </c>
      <c r="F385" s="44">
        <f>-15013.07+-18696.61</f>
        <v>-33709.68</v>
      </c>
      <c r="G385" s="33">
        <f>B385+D385</f>
        <v>1156424.4099999999</v>
      </c>
      <c r="H385" s="45">
        <f>G385/G386</f>
        <v>0.35124358897545821</v>
      </c>
      <c r="I385" s="119"/>
    </row>
    <row r="386" spans="1:9" ht="13.5" thickBot="1" x14ac:dyDescent="0.25">
      <c r="A386" s="46" t="s">
        <v>24</v>
      </c>
      <c r="B386" s="47">
        <f>SUM(B381:B385)</f>
        <v>2191278.39</v>
      </c>
      <c r="C386" s="137">
        <f>B386/B386</f>
        <v>1</v>
      </c>
      <c r="D386" s="47">
        <f>SUM(D381:D385)</f>
        <v>1101093.19</v>
      </c>
      <c r="E386" s="48">
        <f>D386/D386</f>
        <v>1</v>
      </c>
      <c r="F386" s="49">
        <f>SUM(F381:F385)</f>
        <v>-112772.78999999998</v>
      </c>
      <c r="G386" s="47">
        <f>SUM(G381:G385)</f>
        <v>3292371.58</v>
      </c>
      <c r="H386" s="50">
        <f>G386/G386</f>
        <v>1</v>
      </c>
    </row>
    <row r="389" spans="1:9" ht="13.5" thickBot="1" x14ac:dyDescent="0.25">
      <c r="A389" s="22" t="s">
        <v>62</v>
      </c>
    </row>
    <row r="390" spans="1:9" ht="13.5" thickBot="1" x14ac:dyDescent="0.25">
      <c r="A390" s="23" t="s">
        <v>19</v>
      </c>
      <c r="B390" s="24" t="s">
        <v>20</v>
      </c>
      <c r="C390" s="133" t="s">
        <v>21</v>
      </c>
      <c r="D390" s="25" t="s">
        <v>22</v>
      </c>
      <c r="E390" s="26" t="s">
        <v>21</v>
      </c>
      <c r="F390" s="27" t="s">
        <v>23</v>
      </c>
      <c r="G390" s="25" t="s">
        <v>24</v>
      </c>
      <c r="H390" s="25" t="s">
        <v>21</v>
      </c>
    </row>
    <row r="391" spans="1:9" x14ac:dyDescent="0.2">
      <c r="A391" s="28" t="s">
        <v>25</v>
      </c>
      <c r="B391" s="29">
        <v>966401.25</v>
      </c>
      <c r="C391" s="134">
        <f>B391/B396</f>
        <v>0.48421854680800702</v>
      </c>
      <c r="D391" s="31">
        <v>62821.25</v>
      </c>
      <c r="E391" s="30">
        <f>D391/D396</f>
        <v>5.9916950768970405E-2</v>
      </c>
      <c r="F391" s="32">
        <f>-1300.71+-18022.29</f>
        <v>-19323</v>
      </c>
      <c r="G391" s="33">
        <f>B391+D391</f>
        <v>1029222.5</v>
      </c>
      <c r="H391" s="34">
        <f>G391/G396</f>
        <v>0.33808541324432612</v>
      </c>
    </row>
    <row r="392" spans="1:9" x14ac:dyDescent="0.2">
      <c r="A392" s="35" t="s">
        <v>26</v>
      </c>
      <c r="B392" s="36">
        <v>320351.19</v>
      </c>
      <c r="C392" s="135">
        <f>B392/B396</f>
        <v>0.16051302467791279</v>
      </c>
      <c r="D392" s="29">
        <v>119390.29</v>
      </c>
      <c r="E392" s="37">
        <f>D392/D396</f>
        <v>0.11387073845590623</v>
      </c>
      <c r="F392" s="38">
        <f>-3263.95+-31743.62</f>
        <v>-35007.57</v>
      </c>
      <c r="G392" s="33">
        <f>B392+D392</f>
        <v>439741.48</v>
      </c>
      <c r="H392" s="39">
        <f>G392/G396</f>
        <v>0.14444901854212433</v>
      </c>
    </row>
    <row r="393" spans="1:9" x14ac:dyDescent="0.2">
      <c r="A393" s="35" t="s">
        <v>27</v>
      </c>
      <c r="B393" s="36">
        <v>176387.81</v>
      </c>
      <c r="C393" s="135">
        <f>B393/B396</f>
        <v>8.8379696355780635E-2</v>
      </c>
      <c r="D393" s="33">
        <v>109084.03</v>
      </c>
      <c r="E393" s="37">
        <f>D393/D396</f>
        <v>0.10404094880619044</v>
      </c>
      <c r="F393" s="38">
        <f>-4281+-11152.05</f>
        <v>-15433.05</v>
      </c>
      <c r="G393" s="33">
        <f>B393+D393</f>
        <v>285471.83999999997</v>
      </c>
      <c r="H393" s="39">
        <f>G393/G396</f>
        <v>9.3773566936224309E-2</v>
      </c>
    </row>
    <row r="394" spans="1:9" x14ac:dyDescent="0.2">
      <c r="A394" s="35" t="s">
        <v>28</v>
      </c>
      <c r="B394" s="36">
        <v>138761.81</v>
      </c>
      <c r="C394" s="135">
        <f>B394/B396</f>
        <v>6.9527064447245671E-2</v>
      </c>
      <c r="D394" s="33">
        <v>100959.49</v>
      </c>
      <c r="E394" s="37">
        <f>D394/D396</f>
        <v>9.6292015711090764E-2</v>
      </c>
      <c r="F394" s="38">
        <f>-4045.38+-4585.25</f>
        <v>-8630.630000000001</v>
      </c>
      <c r="G394" s="33">
        <f>B394+D394</f>
        <v>239721.3</v>
      </c>
      <c r="H394" s="39">
        <f>G394/G396</f>
        <v>7.8745144780615534E-2</v>
      </c>
    </row>
    <row r="395" spans="1:9" ht="13.5" thickBot="1" x14ac:dyDescent="0.25">
      <c r="A395" s="40" t="s">
        <v>29</v>
      </c>
      <c r="B395" s="41">
        <v>393893.55</v>
      </c>
      <c r="C395" s="136">
        <f>B395/B396</f>
        <v>0.19736166771105382</v>
      </c>
      <c r="D395" s="42">
        <v>656217.02</v>
      </c>
      <c r="E395" s="43">
        <f>D395/D396</f>
        <v>0.62587934625784225</v>
      </c>
      <c r="F395" s="44">
        <f>-19167.74+-11757.17</f>
        <v>-30924.910000000003</v>
      </c>
      <c r="G395" s="33">
        <f>B395+D395</f>
        <v>1050110.57</v>
      </c>
      <c r="H395" s="45">
        <f>G395/G396</f>
        <v>0.34494685649670975</v>
      </c>
      <c r="I395" s="119"/>
    </row>
    <row r="396" spans="1:9" ht="13.5" thickBot="1" x14ac:dyDescent="0.25">
      <c r="A396" s="46" t="s">
        <v>24</v>
      </c>
      <c r="B396" s="47">
        <f>SUM(B391:B395)</f>
        <v>1995795.61</v>
      </c>
      <c r="C396" s="137">
        <f>B396/B396</f>
        <v>1</v>
      </c>
      <c r="D396" s="47">
        <f>SUM(D391:D395)</f>
        <v>1048472.08</v>
      </c>
      <c r="E396" s="48">
        <f>D396/D396</f>
        <v>1</v>
      </c>
      <c r="F396" s="49">
        <f>SUM(F391:F395)</f>
        <v>-109319.16</v>
      </c>
      <c r="G396" s="47">
        <f>SUM(G391:G395)</f>
        <v>3044267.69</v>
      </c>
      <c r="H396" s="50">
        <f>G396/G396</f>
        <v>1</v>
      </c>
    </row>
    <row r="399" spans="1:9" ht="13.5" thickBot="1" x14ac:dyDescent="0.25">
      <c r="A399" s="22" t="s">
        <v>61</v>
      </c>
    </row>
    <row r="400" spans="1:9" ht="13.5" thickBot="1" x14ac:dyDescent="0.25">
      <c r="A400" s="23" t="s">
        <v>19</v>
      </c>
      <c r="B400" s="24" t="s">
        <v>20</v>
      </c>
      <c r="C400" s="133" t="s">
        <v>21</v>
      </c>
      <c r="D400" s="25" t="s">
        <v>22</v>
      </c>
      <c r="E400" s="26" t="s">
        <v>21</v>
      </c>
      <c r="F400" s="27" t="s">
        <v>23</v>
      </c>
      <c r="G400" s="25" t="s">
        <v>24</v>
      </c>
      <c r="H400" s="25" t="s">
        <v>21</v>
      </c>
    </row>
    <row r="401" spans="1:9" x14ac:dyDescent="0.2">
      <c r="A401" s="28" t="s">
        <v>25</v>
      </c>
      <c r="B401" s="29">
        <v>740714.75</v>
      </c>
      <c r="C401" s="134">
        <f>B401/B406</f>
        <v>0.42382043471987563</v>
      </c>
      <c r="D401" s="31">
        <v>56556.17</v>
      </c>
      <c r="E401" s="30">
        <f>D401/D406</f>
        <v>5.7631668569866734E-2</v>
      </c>
      <c r="F401" s="32">
        <f>-974.09+-15169.04</f>
        <v>-16143.130000000001</v>
      </c>
      <c r="G401" s="33">
        <f>B401+D401</f>
        <v>797270.92</v>
      </c>
      <c r="H401" s="34">
        <f>G401/G406</f>
        <v>0.29214257816533579</v>
      </c>
    </row>
    <row r="402" spans="1:9" x14ac:dyDescent="0.2">
      <c r="A402" s="35" t="s">
        <v>26</v>
      </c>
      <c r="B402" s="36">
        <v>364552.43</v>
      </c>
      <c r="C402" s="135">
        <f>B402/B406</f>
        <v>0.20858875749509112</v>
      </c>
      <c r="D402" s="29">
        <v>111023.89</v>
      </c>
      <c r="E402" s="37">
        <f>D402/D406</f>
        <v>0.11313517219814111</v>
      </c>
      <c r="F402" s="38">
        <f>-2048+-38666.58</f>
        <v>-40714.58</v>
      </c>
      <c r="G402" s="33">
        <f>B402+D402</f>
        <v>475576.32000000001</v>
      </c>
      <c r="H402" s="39">
        <f>G402/G406</f>
        <v>0.17426459281768703</v>
      </c>
    </row>
    <row r="403" spans="1:9" x14ac:dyDescent="0.2">
      <c r="A403" s="35" t="s">
        <v>27</v>
      </c>
      <c r="B403" s="36">
        <v>182423.93</v>
      </c>
      <c r="C403" s="135">
        <f>B403/B406</f>
        <v>0.10437889797105858</v>
      </c>
      <c r="D403" s="33">
        <v>111096.13</v>
      </c>
      <c r="E403" s="37">
        <f>D403/D406</f>
        <v>0.11320878594775476</v>
      </c>
      <c r="F403" s="38">
        <f>-5390.37+-17783.03</f>
        <v>-23173.399999999998</v>
      </c>
      <c r="G403" s="33">
        <f>B403+D403</f>
        <v>293520.06</v>
      </c>
      <c r="H403" s="39">
        <f>G403/G406</f>
        <v>0.10755403830813752</v>
      </c>
    </row>
    <row r="404" spans="1:9" x14ac:dyDescent="0.2">
      <c r="A404" s="35" t="s">
        <v>28</v>
      </c>
      <c r="B404" s="36">
        <v>124848.05</v>
      </c>
      <c r="C404" s="135">
        <f>B404/B406</f>
        <v>7.1435265498532019E-2</v>
      </c>
      <c r="D404" s="33">
        <v>105345.82</v>
      </c>
      <c r="E404" s="37">
        <f>D404/D406</f>
        <v>0.10734912536440921</v>
      </c>
      <c r="F404" s="38">
        <f>-4357.13+-8479.32</f>
        <v>-12836.45</v>
      </c>
      <c r="G404" s="33">
        <f>B404+D404</f>
        <v>230193.87</v>
      </c>
      <c r="H404" s="39">
        <f>G404/G406</f>
        <v>8.4349534107748633E-2</v>
      </c>
    </row>
    <row r="405" spans="1:9" ht="13.5" thickBot="1" x14ac:dyDescent="0.25">
      <c r="A405" s="40" t="s">
        <v>29</v>
      </c>
      <c r="B405" s="41">
        <v>335169.75</v>
      </c>
      <c r="C405" s="136">
        <f>B405/B406</f>
        <v>0.19177664431544267</v>
      </c>
      <c r="D405" s="42">
        <v>597316.4</v>
      </c>
      <c r="E405" s="43">
        <f>D405/D406</f>
        <v>0.60867524791982819</v>
      </c>
      <c r="F405" s="44">
        <f>-21246.69+-14799.31</f>
        <v>-36046</v>
      </c>
      <c r="G405" s="33">
        <f>B405+D405</f>
        <v>932486.15</v>
      </c>
      <c r="H405" s="45">
        <f>G405/G406</f>
        <v>0.34168925660109112</v>
      </c>
      <c r="I405" s="119"/>
    </row>
    <row r="406" spans="1:9" ht="13.5" thickBot="1" x14ac:dyDescent="0.25">
      <c r="A406" s="46" t="s">
        <v>24</v>
      </c>
      <c r="B406" s="47">
        <f>SUM(B401:B405)</f>
        <v>1747708.91</v>
      </c>
      <c r="C406" s="137">
        <f>B406/B406</f>
        <v>1</v>
      </c>
      <c r="D406" s="47">
        <f>SUM(D401:D405)</f>
        <v>981338.41</v>
      </c>
      <c r="E406" s="48">
        <f>D406/D406</f>
        <v>1</v>
      </c>
      <c r="F406" s="49">
        <f>SUM(F401:F405)</f>
        <v>-128913.56</v>
      </c>
      <c r="G406" s="47">
        <f>SUM(G401:G405)</f>
        <v>2729047.32</v>
      </c>
      <c r="H406" s="50">
        <f>G406/G406</f>
        <v>1</v>
      </c>
    </row>
    <row r="409" spans="1:9" ht="13.5" thickBot="1" x14ac:dyDescent="0.25">
      <c r="A409" s="22" t="s">
        <v>60</v>
      </c>
    </row>
    <row r="410" spans="1:9" ht="13.5" thickBot="1" x14ac:dyDescent="0.25">
      <c r="A410" s="23" t="s">
        <v>19</v>
      </c>
      <c r="B410" s="24" t="s">
        <v>20</v>
      </c>
      <c r="C410" s="133" t="s">
        <v>21</v>
      </c>
      <c r="D410" s="25" t="s">
        <v>22</v>
      </c>
      <c r="E410" s="26" t="s">
        <v>21</v>
      </c>
      <c r="F410" s="27" t="s">
        <v>23</v>
      </c>
      <c r="G410" s="25" t="s">
        <v>24</v>
      </c>
      <c r="H410" s="25" t="s">
        <v>21</v>
      </c>
    </row>
    <row r="411" spans="1:9" x14ac:dyDescent="0.2">
      <c r="A411" s="28" t="s">
        <v>25</v>
      </c>
      <c r="B411" s="29">
        <v>976040.87</v>
      </c>
      <c r="C411" s="134">
        <f>B411/B416</f>
        <v>0.45955058249316866</v>
      </c>
      <c r="D411" s="31">
        <v>41974.720000000001</v>
      </c>
      <c r="E411" s="30">
        <f>D411/D416</f>
        <v>4.4513525324727403E-2</v>
      </c>
      <c r="F411" s="32">
        <f>-14439.37+-1917.4</f>
        <v>-16356.77</v>
      </c>
      <c r="G411" s="33">
        <f>B411+D411</f>
        <v>1018015.59</v>
      </c>
      <c r="H411" s="34">
        <f>G411/G416</f>
        <v>0.33193975333569481</v>
      </c>
    </row>
    <row r="412" spans="1:9" x14ac:dyDescent="0.2">
      <c r="A412" s="35" t="s">
        <v>26</v>
      </c>
      <c r="B412" s="36">
        <v>498877.41</v>
      </c>
      <c r="C412" s="135">
        <f>B412/B416</f>
        <v>0.23488709479776529</v>
      </c>
      <c r="D412" s="29">
        <v>132824.88</v>
      </c>
      <c r="E412" s="37">
        <f>D412/D416</f>
        <v>0.14085868016829842</v>
      </c>
      <c r="F412" s="38">
        <f>-20307.53+-6432.55</f>
        <v>-26740.079999999998</v>
      </c>
      <c r="G412" s="33">
        <f>B412+D412</f>
        <v>631702.29</v>
      </c>
      <c r="H412" s="39">
        <f>G412/G416</f>
        <v>0.20597631743949379</v>
      </c>
    </row>
    <row r="413" spans="1:9" x14ac:dyDescent="0.2">
      <c r="A413" s="35" t="s">
        <v>27</v>
      </c>
      <c r="B413" s="36">
        <v>236495.2</v>
      </c>
      <c r="C413" s="135">
        <f>B413/B416</f>
        <v>0.11134934023494161</v>
      </c>
      <c r="D413" s="33">
        <v>117956.4</v>
      </c>
      <c r="E413" s="37">
        <f>D413/D416</f>
        <v>0.12509089277102206</v>
      </c>
      <c r="F413" s="38">
        <f>-6201.47+-3734.86</f>
        <v>-9936.33</v>
      </c>
      <c r="G413" s="33">
        <f>B413+D413</f>
        <v>354451.6</v>
      </c>
      <c r="H413" s="39">
        <f>G413/G416</f>
        <v>0.11557443503732823</v>
      </c>
    </row>
    <row r="414" spans="1:9" x14ac:dyDescent="0.2">
      <c r="A414" s="35" t="s">
        <v>28</v>
      </c>
      <c r="B414" s="36">
        <v>112926.94</v>
      </c>
      <c r="C414" s="135">
        <f>B414/B416</f>
        <v>5.3169536902866688E-2</v>
      </c>
      <c r="D414" s="33">
        <v>75292.350000000006</v>
      </c>
      <c r="E414" s="37">
        <f>D414/D416</f>
        <v>7.9846343906123482E-2</v>
      </c>
      <c r="F414" s="38">
        <f>-5376.21+-3911.62</f>
        <v>-9287.83</v>
      </c>
      <c r="G414" s="33">
        <f>B414+D414</f>
        <v>188219.29</v>
      </c>
      <c r="H414" s="39">
        <f>G414/G416</f>
        <v>6.1371815234793813E-2</v>
      </c>
    </row>
    <row r="415" spans="1:9" ht="13.5" thickBot="1" x14ac:dyDescent="0.25">
      <c r="A415" s="40" t="s">
        <v>29</v>
      </c>
      <c r="B415" s="41">
        <v>299562.59999999998</v>
      </c>
      <c r="C415" s="136">
        <f>B415/B416</f>
        <v>0.14104344557125775</v>
      </c>
      <c r="D415" s="42">
        <v>574917.18000000005</v>
      </c>
      <c r="E415" s="43">
        <f>D415/D416</f>
        <v>0.60969055782982862</v>
      </c>
      <c r="F415" s="44">
        <f>-8776.89+-19625.19</f>
        <v>-28402.079999999998</v>
      </c>
      <c r="G415" s="33">
        <f>B415+D415</f>
        <v>874479.78</v>
      </c>
      <c r="H415" s="45">
        <f>G415/G416</f>
        <v>0.28513767895268943</v>
      </c>
      <c r="I415" s="119"/>
    </row>
    <row r="416" spans="1:9" ht="13.5" thickBot="1" x14ac:dyDescent="0.25">
      <c r="A416" s="46" t="s">
        <v>24</v>
      </c>
      <c r="B416" s="47">
        <f>SUM(B411:B415)</f>
        <v>2123903.02</v>
      </c>
      <c r="C416" s="137">
        <f>B416/B416</f>
        <v>1</v>
      </c>
      <c r="D416" s="47">
        <f>SUM(D411:D415)</f>
        <v>942965.53</v>
      </c>
      <c r="E416" s="48">
        <f>D416/D416</f>
        <v>1</v>
      </c>
      <c r="F416" s="49">
        <f>SUM(F411:F415)</f>
        <v>-90723.09</v>
      </c>
      <c r="G416" s="47">
        <f>SUM(G411:G415)</f>
        <v>3066868.55</v>
      </c>
      <c r="H416" s="50">
        <f>G416/G416</f>
        <v>1</v>
      </c>
    </row>
    <row r="419" spans="1:8" ht="13.5" thickBot="1" x14ac:dyDescent="0.25">
      <c r="A419" s="22" t="s">
        <v>59</v>
      </c>
    </row>
    <row r="420" spans="1:8" ht="13.5" thickBot="1" x14ac:dyDescent="0.25">
      <c r="A420" s="23" t="s">
        <v>19</v>
      </c>
      <c r="B420" s="24" t="s">
        <v>20</v>
      </c>
      <c r="C420" s="133" t="s">
        <v>21</v>
      </c>
      <c r="D420" s="25" t="s">
        <v>22</v>
      </c>
      <c r="E420" s="26" t="s">
        <v>21</v>
      </c>
      <c r="F420" s="27" t="s">
        <v>23</v>
      </c>
      <c r="G420" s="25" t="s">
        <v>24</v>
      </c>
      <c r="H420" s="25" t="s">
        <v>21</v>
      </c>
    </row>
    <row r="421" spans="1:8" x14ac:dyDescent="0.2">
      <c r="A421" s="28" t="s">
        <v>25</v>
      </c>
      <c r="B421" s="29">
        <v>1128070.77</v>
      </c>
      <c r="C421" s="134">
        <f>B421/B426</f>
        <v>0.50307770139880359</v>
      </c>
      <c r="D421" s="31">
        <v>55168.58</v>
      </c>
      <c r="E421" s="30">
        <f>D421/D426</f>
        <v>6.4020620253117846E-2</v>
      </c>
      <c r="F421" s="32">
        <f>-11174.85+-1462.21</f>
        <v>-12637.060000000001</v>
      </c>
      <c r="G421" s="33">
        <f>B421+D421</f>
        <v>1183239.3500000001</v>
      </c>
      <c r="H421" s="34">
        <f>G421/G426</f>
        <v>0.3811895912955533</v>
      </c>
    </row>
    <row r="422" spans="1:8" x14ac:dyDescent="0.2">
      <c r="A422" s="35" t="s">
        <v>26</v>
      </c>
      <c r="B422" s="36">
        <v>485665.91</v>
      </c>
      <c r="C422" s="135">
        <f>B422/B426</f>
        <v>0.21658897309302522</v>
      </c>
      <c r="D422" s="29">
        <v>114326.6</v>
      </c>
      <c r="E422" s="37">
        <f>D422/D426</f>
        <v>0.13267080362463748</v>
      </c>
      <c r="F422" s="38">
        <f>-41889.19+-2599.08</f>
        <v>-44488.270000000004</v>
      </c>
      <c r="G422" s="33">
        <f>B422+D422</f>
        <v>599992.51</v>
      </c>
      <c r="H422" s="39">
        <f>G422/G426</f>
        <v>0.1932921683742965</v>
      </c>
    </row>
    <row r="423" spans="1:8" x14ac:dyDescent="0.2">
      <c r="A423" s="35" t="s">
        <v>27</v>
      </c>
      <c r="B423" s="36">
        <v>223257.45</v>
      </c>
      <c r="C423" s="135">
        <f>B423/B426</f>
        <v>9.9564537751614945E-2</v>
      </c>
      <c r="D423" s="33">
        <v>82529.240000000005</v>
      </c>
      <c r="E423" s="37">
        <f>D423/D426</f>
        <v>9.5771417966864905E-2</v>
      </c>
      <c r="F423" s="38">
        <f>-12271.37+-3015.54</f>
        <v>-15286.91</v>
      </c>
      <c r="G423" s="33">
        <f>B423+D423</f>
        <v>305786.69</v>
      </c>
      <c r="H423" s="39">
        <f>G423/G426</f>
        <v>9.8511517035602347E-2</v>
      </c>
    </row>
    <row r="424" spans="1:8" x14ac:dyDescent="0.2">
      <c r="A424" s="35" t="s">
        <v>28</v>
      </c>
      <c r="B424" s="36">
        <v>97672.44</v>
      </c>
      <c r="C424" s="135">
        <f>B424/B426</f>
        <v>4.3558283675068157E-2</v>
      </c>
      <c r="D424" s="33">
        <v>79034.39</v>
      </c>
      <c r="E424" s="37">
        <f>D424/D426</f>
        <v>9.1715803979852573E-2</v>
      </c>
      <c r="F424" s="38">
        <f>-7851.71+-2909.09</f>
        <v>-10760.8</v>
      </c>
      <c r="G424" s="33">
        <f>B424+D424</f>
        <v>176706.83000000002</v>
      </c>
      <c r="H424" s="39">
        <f>G424/G426</f>
        <v>5.6927454539804495E-2</v>
      </c>
    </row>
    <row r="425" spans="1:8" ht="13.5" thickBot="1" x14ac:dyDescent="0.25">
      <c r="A425" s="40" t="s">
        <v>29</v>
      </c>
      <c r="B425" s="41">
        <f>70113.16+63250.67+174308.64</f>
        <v>307672.47000000003</v>
      </c>
      <c r="C425" s="136">
        <f>B425/B426</f>
        <v>0.13721050408148805</v>
      </c>
      <c r="D425" s="42">
        <v>530672.61</v>
      </c>
      <c r="E425" s="43">
        <f>D425/D426</f>
        <v>0.6158213541755273</v>
      </c>
      <c r="F425" s="44">
        <f>-12405.96+-17415.08</f>
        <v>-29821.040000000001</v>
      </c>
      <c r="G425" s="33">
        <f>B425+D425</f>
        <v>838345.08000000007</v>
      </c>
      <c r="H425" s="45">
        <f>G425/G426</f>
        <v>0.27007926875474342</v>
      </c>
    </row>
    <row r="426" spans="1:8" ht="13.5" thickBot="1" x14ac:dyDescent="0.25">
      <c r="A426" s="46" t="s">
        <v>24</v>
      </c>
      <c r="B426" s="47">
        <f>SUM(B421:B425)</f>
        <v>2242339.04</v>
      </c>
      <c r="C426" s="137">
        <f>B426/B426</f>
        <v>1</v>
      </c>
      <c r="D426" s="47">
        <f>SUM(D421:D425)</f>
        <v>861731.41999999993</v>
      </c>
      <c r="E426" s="48">
        <f>D426/D426</f>
        <v>1</v>
      </c>
      <c r="F426" s="49">
        <f>SUM(F421:F425)</f>
        <v>-112994.08000000002</v>
      </c>
      <c r="G426" s="47">
        <f>SUM(G421:G425)</f>
        <v>3104070.46</v>
      </c>
      <c r="H426" s="50">
        <f>G426/G426</f>
        <v>1</v>
      </c>
    </row>
    <row r="429" spans="1:8" ht="13.5" thickBot="1" x14ac:dyDescent="0.25">
      <c r="A429" s="22" t="s">
        <v>58</v>
      </c>
    </row>
    <row r="430" spans="1:8" ht="13.5" thickBot="1" x14ac:dyDescent="0.25">
      <c r="A430" s="23" t="s">
        <v>19</v>
      </c>
      <c r="B430" s="24" t="s">
        <v>20</v>
      </c>
      <c r="C430" s="133" t="s">
        <v>21</v>
      </c>
      <c r="D430" s="25" t="s">
        <v>22</v>
      </c>
      <c r="E430" s="26" t="s">
        <v>21</v>
      </c>
      <c r="F430" s="27" t="s">
        <v>23</v>
      </c>
      <c r="G430" s="25" t="s">
        <v>24</v>
      </c>
      <c r="H430" s="25" t="s">
        <v>21</v>
      </c>
    </row>
    <row r="431" spans="1:8" x14ac:dyDescent="0.2">
      <c r="A431" s="28" t="s">
        <v>25</v>
      </c>
      <c r="B431" s="29">
        <v>1465954.15</v>
      </c>
      <c r="C431" s="134">
        <f>B431/B436</f>
        <v>0.57519316363505668</v>
      </c>
      <c r="D431" s="31">
        <v>40236.120000000003</v>
      </c>
      <c r="E431" s="30">
        <f>D431/D436</f>
        <v>4.8522715873766741E-2</v>
      </c>
      <c r="F431" s="32">
        <f>-9900.05+-1411.06</f>
        <v>-11311.109999999999</v>
      </c>
      <c r="G431" s="33">
        <f>B431+D431</f>
        <v>1506190.27</v>
      </c>
      <c r="H431" s="34">
        <f>G431/G436</f>
        <v>0.44590184250957809</v>
      </c>
    </row>
    <row r="432" spans="1:8" x14ac:dyDescent="0.2">
      <c r="A432" s="35" t="s">
        <v>26</v>
      </c>
      <c r="B432" s="36">
        <v>536598.86</v>
      </c>
      <c r="C432" s="135">
        <f>B432/B436</f>
        <v>0.21054409913595518</v>
      </c>
      <c r="D432" s="29">
        <v>106607.62</v>
      </c>
      <c r="E432" s="37">
        <f>D432/D436</f>
        <v>0.12856337179724317</v>
      </c>
      <c r="F432" s="38">
        <f>-17678.47+-2320.23</f>
        <v>-19998.7</v>
      </c>
      <c r="G432" s="33">
        <f>B432+D432</f>
        <v>643206.48</v>
      </c>
      <c r="H432" s="39">
        <f>G432/G436</f>
        <v>0.19041880714453169</v>
      </c>
    </row>
    <row r="433" spans="1:8" x14ac:dyDescent="0.2">
      <c r="A433" s="35" t="s">
        <v>27</v>
      </c>
      <c r="B433" s="36">
        <v>185457.59</v>
      </c>
      <c r="C433" s="135">
        <f>B433/B436</f>
        <v>7.2767581381882412E-2</v>
      </c>
      <c r="D433" s="33">
        <v>97309.77</v>
      </c>
      <c r="E433" s="37">
        <f>D433/D436</f>
        <v>0.11735063722475204</v>
      </c>
      <c r="F433" s="38">
        <f>-8064.68+-2430.25</f>
        <v>-10494.93</v>
      </c>
      <c r="G433" s="33">
        <f>B433+D433</f>
        <v>282767.35999999999</v>
      </c>
      <c r="H433" s="39">
        <f>G433/G436</f>
        <v>8.3712190509349901E-2</v>
      </c>
    </row>
    <row r="434" spans="1:8" x14ac:dyDescent="0.2">
      <c r="A434" s="35" t="s">
        <v>28</v>
      </c>
      <c r="B434" s="36">
        <v>95021.19</v>
      </c>
      <c r="C434" s="135">
        <f>B434/B436</f>
        <v>3.7283252609549775E-2</v>
      </c>
      <c r="D434" s="33">
        <v>81150.12</v>
      </c>
      <c r="E434" s="37">
        <f>D434/D436</f>
        <v>9.7862920576886517E-2</v>
      </c>
      <c r="F434" s="38">
        <f>-4387.59+-2979.95</f>
        <v>-7367.54</v>
      </c>
      <c r="G434" s="33">
        <f>B434+D434</f>
        <v>176171.31</v>
      </c>
      <c r="H434" s="39">
        <f>G434/G436</f>
        <v>5.2154839458846101E-2</v>
      </c>
    </row>
    <row r="435" spans="1:8" ht="13.5" thickBot="1" x14ac:dyDescent="0.25">
      <c r="A435" s="40" t="s">
        <v>29</v>
      </c>
      <c r="B435" s="41">
        <v>265597.51</v>
      </c>
      <c r="C435" s="136">
        <f>B435/B436</f>
        <v>0.10421190323755598</v>
      </c>
      <c r="D435" s="42">
        <v>503918.71</v>
      </c>
      <c r="E435" s="43">
        <f>D435/D436</f>
        <v>0.60770035452735149</v>
      </c>
      <c r="F435" s="44">
        <f>-9463.89+-14618.14</f>
        <v>-24082.03</v>
      </c>
      <c r="G435" s="33">
        <f>B435+D435</f>
        <v>769516.22</v>
      </c>
      <c r="H435" s="45">
        <f>G435/G436</f>
        <v>0.22781232037769428</v>
      </c>
    </row>
    <row r="436" spans="1:8" ht="13.5" thickBot="1" x14ac:dyDescent="0.25">
      <c r="A436" s="46" t="s">
        <v>24</v>
      </c>
      <c r="B436" s="47">
        <f>SUM(B431:B435)</f>
        <v>2548629.2999999998</v>
      </c>
      <c r="C436" s="137">
        <f>B436/B436</f>
        <v>1</v>
      </c>
      <c r="D436" s="47">
        <f>SUM(D431:D435)</f>
        <v>829222.34000000008</v>
      </c>
      <c r="E436" s="48">
        <f>D436/D436</f>
        <v>1</v>
      </c>
      <c r="F436" s="49">
        <f>SUM(F431:F435)</f>
        <v>-73254.31</v>
      </c>
      <c r="G436" s="47">
        <f>SUM(G431:G435)</f>
        <v>3377851.6399999997</v>
      </c>
      <c r="H436" s="50">
        <f>G436/G436</f>
        <v>1</v>
      </c>
    </row>
    <row r="437" spans="1:8" x14ac:dyDescent="0.2">
      <c r="A437" s="17"/>
      <c r="B437" s="51"/>
      <c r="C437" s="138"/>
      <c r="D437" s="51"/>
      <c r="E437" s="52"/>
      <c r="F437" s="53"/>
      <c r="G437" s="51"/>
      <c r="H437" s="52"/>
    </row>
    <row r="439" spans="1:8" ht="13.5" thickBot="1" x14ac:dyDescent="0.25">
      <c r="A439" s="22" t="s">
        <v>57</v>
      </c>
    </row>
    <row r="440" spans="1:8" ht="13.5" thickBot="1" x14ac:dyDescent="0.25">
      <c r="A440" s="23" t="s">
        <v>19</v>
      </c>
      <c r="B440" s="24" t="s">
        <v>20</v>
      </c>
      <c r="C440" s="133" t="s">
        <v>21</v>
      </c>
      <c r="D440" s="25" t="s">
        <v>22</v>
      </c>
      <c r="E440" s="26" t="s">
        <v>21</v>
      </c>
      <c r="F440" s="27" t="s">
        <v>23</v>
      </c>
      <c r="G440" s="25" t="s">
        <v>24</v>
      </c>
      <c r="H440" s="25" t="s">
        <v>21</v>
      </c>
    </row>
    <row r="441" spans="1:8" x14ac:dyDescent="0.2">
      <c r="A441" s="28" t="s">
        <v>25</v>
      </c>
      <c r="B441" s="29">
        <v>948564.16</v>
      </c>
      <c r="C441" s="134">
        <f>B441/B446</f>
        <v>0.5026703849641464</v>
      </c>
      <c r="D441" s="31">
        <v>19351.34</v>
      </c>
      <c r="E441" s="30">
        <f>D441/D446</f>
        <v>2.9763810143726952E-2</v>
      </c>
      <c r="F441" s="32">
        <f>-11465.52+-628</f>
        <v>-12093.52</v>
      </c>
      <c r="G441" s="33">
        <f>B441+D441</f>
        <v>967915.5</v>
      </c>
      <c r="H441" s="34">
        <f>G441/G446</f>
        <v>0.38148761644182066</v>
      </c>
    </row>
    <row r="442" spans="1:8" x14ac:dyDescent="0.2">
      <c r="A442" s="35" t="s">
        <v>26</v>
      </c>
      <c r="B442" s="36">
        <v>423180.54</v>
      </c>
      <c r="C442" s="135">
        <f>B442/B446</f>
        <v>0.22425507300543099</v>
      </c>
      <c r="D442" s="29">
        <v>62282.400000000001</v>
      </c>
      <c r="E442" s="37">
        <f>D442/D446</f>
        <v>9.5794995534968605E-2</v>
      </c>
      <c r="F442" s="38">
        <f>-34688.43+-1539.16</f>
        <v>-36227.590000000004</v>
      </c>
      <c r="G442" s="33">
        <f>B442+D442</f>
        <v>485462.94</v>
      </c>
      <c r="H442" s="39">
        <f>G442/G446</f>
        <v>0.19133705354593308</v>
      </c>
    </row>
    <row r="443" spans="1:8" x14ac:dyDescent="0.2">
      <c r="A443" s="35" t="s">
        <v>27</v>
      </c>
      <c r="B443" s="36">
        <v>164533.87</v>
      </c>
      <c r="C443" s="135">
        <f>B443/B446</f>
        <v>8.7191048597641319E-2</v>
      </c>
      <c r="D443" s="33">
        <v>57114.51</v>
      </c>
      <c r="E443" s="37">
        <f>D443/D446</f>
        <v>8.7846393691185951E-2</v>
      </c>
      <c r="F443" s="38">
        <f>-21671.65+-3353.28</f>
        <v>-25024.93</v>
      </c>
      <c r="G443" s="33">
        <f>B443+D443</f>
        <v>221648.38</v>
      </c>
      <c r="H443" s="39">
        <f>G443/G446</f>
        <v>8.7358981413554096E-2</v>
      </c>
    </row>
    <row r="444" spans="1:8" x14ac:dyDescent="0.2">
      <c r="A444" s="35" t="s">
        <v>28</v>
      </c>
      <c r="B444" s="36">
        <v>105925.92</v>
      </c>
      <c r="C444" s="135">
        <f>B444/B446</f>
        <v>5.6133074840273717E-2</v>
      </c>
      <c r="D444" s="33">
        <v>56257.11</v>
      </c>
      <c r="E444" s="37">
        <f>D444/D446</f>
        <v>8.6527648280416911E-2</v>
      </c>
      <c r="F444" s="38">
        <f>-5063.28+-3084.41</f>
        <v>-8147.69</v>
      </c>
      <c r="G444" s="33">
        <f>B444+D444</f>
        <v>162183.03</v>
      </c>
      <c r="H444" s="39">
        <f>G444/G446</f>
        <v>6.3921713767381858E-2</v>
      </c>
    </row>
    <row r="445" spans="1:8" ht="13.5" thickBot="1" x14ac:dyDescent="0.25">
      <c r="A445" s="40" t="s">
        <v>29</v>
      </c>
      <c r="B445" s="41">
        <v>244845.53</v>
      </c>
      <c r="C445" s="136">
        <f>B445/B446</f>
        <v>0.12975041859250769</v>
      </c>
      <c r="D445" s="42">
        <v>455158.04</v>
      </c>
      <c r="E445" s="43">
        <f>D445/D446</f>
        <v>0.70006715234970174</v>
      </c>
      <c r="F445" s="44">
        <f>-15797.19+-11918.79</f>
        <v>-27715.980000000003</v>
      </c>
      <c r="G445" s="33">
        <f>B445+D445</f>
        <v>700003.57</v>
      </c>
      <c r="H445" s="45">
        <f>G445/G446</f>
        <v>0.27589463483131033</v>
      </c>
    </row>
    <row r="446" spans="1:8" ht="13.5" thickBot="1" x14ac:dyDescent="0.25">
      <c r="A446" s="46" t="s">
        <v>24</v>
      </c>
      <c r="B446" s="47">
        <f>SUM(B441:B445)</f>
        <v>1887050.0199999998</v>
      </c>
      <c r="C446" s="137">
        <f>B446/B446</f>
        <v>1</v>
      </c>
      <c r="D446" s="47">
        <f>SUM(D441:D445)</f>
        <v>650163.39999999991</v>
      </c>
      <c r="E446" s="48">
        <f>D446/D446</f>
        <v>1</v>
      </c>
      <c r="F446" s="49">
        <f>SUM(F441:F445)</f>
        <v>-109209.71000000002</v>
      </c>
      <c r="G446" s="47">
        <f>SUM(G441:G445)</f>
        <v>2537213.42</v>
      </c>
      <c r="H446" s="50">
        <f>G446/G446</f>
        <v>1</v>
      </c>
    </row>
    <row r="449" spans="1:8" ht="13.5" thickBot="1" x14ac:dyDescent="0.25">
      <c r="A449" s="22" t="s">
        <v>56</v>
      </c>
    </row>
    <row r="450" spans="1:8" ht="13.5" thickBot="1" x14ac:dyDescent="0.25">
      <c r="A450" s="23" t="s">
        <v>19</v>
      </c>
      <c r="B450" s="24" t="s">
        <v>20</v>
      </c>
      <c r="C450" s="133" t="s">
        <v>21</v>
      </c>
      <c r="D450" s="25" t="s">
        <v>22</v>
      </c>
      <c r="E450" s="26" t="s">
        <v>21</v>
      </c>
      <c r="F450" s="27" t="s">
        <v>23</v>
      </c>
      <c r="G450" s="25" t="s">
        <v>24</v>
      </c>
      <c r="H450" s="25" t="s">
        <v>21</v>
      </c>
    </row>
    <row r="451" spans="1:8" x14ac:dyDescent="0.2">
      <c r="A451" s="28" t="s">
        <v>25</v>
      </c>
      <c r="B451" s="29">
        <v>917720.8</v>
      </c>
      <c r="C451" s="134">
        <f>B451/B456</f>
        <v>0.54499575566782887</v>
      </c>
      <c r="D451" s="31">
        <v>18546.55</v>
      </c>
      <c r="E451" s="30">
        <f>D451/D456</f>
        <v>4.9193386075623687E-2</v>
      </c>
      <c r="F451" s="32">
        <f>-533.5+-11644.84</f>
        <v>-12178.34</v>
      </c>
      <c r="G451" s="33">
        <f>B451+D451</f>
        <v>936267.35000000009</v>
      </c>
      <c r="H451" s="34">
        <f>G451/G456</f>
        <v>0.45429635984907446</v>
      </c>
    </row>
    <row r="452" spans="1:8" x14ac:dyDescent="0.2">
      <c r="A452" s="35" t="s">
        <v>26</v>
      </c>
      <c r="B452" s="36">
        <v>332227.53000000003</v>
      </c>
      <c r="C452" s="135">
        <f>B452/B456</f>
        <v>0.19729594639895523</v>
      </c>
      <c r="D452" s="29">
        <v>58451.64</v>
      </c>
      <c r="E452" s="37">
        <f>D452/D456</f>
        <v>0.15503875886746421</v>
      </c>
      <c r="F452" s="38">
        <f>-2604.75+-35144.91</f>
        <v>-37749.660000000003</v>
      </c>
      <c r="G452" s="33">
        <f>B452+D452</f>
        <v>390679.17000000004</v>
      </c>
      <c r="H452" s="39">
        <f>G452/G456</f>
        <v>0.18956564575263435</v>
      </c>
    </row>
    <row r="453" spans="1:8" x14ac:dyDescent="0.2">
      <c r="A453" s="35" t="s">
        <v>27</v>
      </c>
      <c r="B453" s="36">
        <v>152980.04</v>
      </c>
      <c r="C453" s="135">
        <f>B453/B456</f>
        <v>9.0848406728816319E-2</v>
      </c>
      <c r="D453" s="33">
        <v>53161.17</v>
      </c>
      <c r="E453" s="37">
        <f>D453/D456</f>
        <v>0.1410061688045412</v>
      </c>
      <c r="F453" s="38">
        <f>-2612.52+-16976.68</f>
        <v>-19589.2</v>
      </c>
      <c r="G453" s="33">
        <f>B453+D453</f>
        <v>206141.21000000002</v>
      </c>
      <c r="H453" s="39">
        <f>G453/G456</f>
        <v>0.10002399562249353</v>
      </c>
    </row>
    <row r="454" spans="1:8" x14ac:dyDescent="0.2">
      <c r="A454" s="35" t="s">
        <v>28</v>
      </c>
      <c r="B454" s="36">
        <v>68012.13</v>
      </c>
      <c r="C454" s="135">
        <f>B454/B456</f>
        <v>4.0389541333190462E-2</v>
      </c>
      <c r="D454" s="33">
        <v>43634.47</v>
      </c>
      <c r="E454" s="37">
        <f>D454/D456</f>
        <v>0.11573728423427643</v>
      </c>
      <c r="F454" s="38">
        <f>-4053.07+-10560.37</f>
        <v>-14613.44</v>
      </c>
      <c r="G454" s="33">
        <f>B454+D454</f>
        <v>111646.6</v>
      </c>
      <c r="H454" s="39">
        <f>G454/G456</f>
        <v>5.4173248666126904E-2</v>
      </c>
    </row>
    <row r="455" spans="1:8" ht="13.5" thickBot="1" x14ac:dyDescent="0.25">
      <c r="A455" s="40" t="s">
        <v>29</v>
      </c>
      <c r="B455" s="41">
        <v>212963.99</v>
      </c>
      <c r="C455" s="136">
        <f>B455/B456</f>
        <v>0.12647034987120914</v>
      </c>
      <c r="D455" s="42">
        <v>203219.25</v>
      </c>
      <c r="E455" s="43">
        <f>D455/D456</f>
        <v>0.53902440201809443</v>
      </c>
      <c r="F455" s="44">
        <f>-8545.32+-21623.08</f>
        <v>-30168.400000000001</v>
      </c>
      <c r="G455" s="33">
        <f>B455+D455</f>
        <v>416183.24</v>
      </c>
      <c r="H455" s="45">
        <f>G455/G456</f>
        <v>0.2019407501096708</v>
      </c>
    </row>
    <row r="456" spans="1:8" ht="13.5" thickBot="1" x14ac:dyDescent="0.25">
      <c r="A456" s="46" t="s">
        <v>24</v>
      </c>
      <c r="B456" s="47">
        <f>SUM(B451:B455)</f>
        <v>1683904.49</v>
      </c>
      <c r="C456" s="137">
        <f>B456/B456</f>
        <v>1</v>
      </c>
      <c r="D456" s="47">
        <f>SUM(D451:D455)</f>
        <v>377013.08</v>
      </c>
      <c r="E456" s="48">
        <f>D456/D456</f>
        <v>1</v>
      </c>
      <c r="F456" s="49">
        <f>SUM(F451:F455)</f>
        <v>-114299.04000000001</v>
      </c>
      <c r="G456" s="47">
        <f>SUM(G451:G455)</f>
        <v>2060917.57</v>
      </c>
      <c r="H456" s="50">
        <f>G456/G456</f>
        <v>1</v>
      </c>
    </row>
    <row r="459" spans="1:8" ht="13.5" thickBot="1" x14ac:dyDescent="0.25">
      <c r="A459" s="22" t="s">
        <v>55</v>
      </c>
    </row>
    <row r="460" spans="1:8" ht="13.5" thickBot="1" x14ac:dyDescent="0.25">
      <c r="A460" s="23" t="s">
        <v>19</v>
      </c>
      <c r="B460" s="24" t="s">
        <v>20</v>
      </c>
      <c r="C460" s="133" t="s">
        <v>21</v>
      </c>
      <c r="D460" s="25" t="s">
        <v>22</v>
      </c>
      <c r="E460" s="26" t="s">
        <v>21</v>
      </c>
      <c r="F460" s="27" t="s">
        <v>23</v>
      </c>
      <c r="G460" s="25" t="s">
        <v>24</v>
      </c>
      <c r="H460" s="25" t="s">
        <v>21</v>
      </c>
    </row>
    <row r="461" spans="1:8" x14ac:dyDescent="0.2">
      <c r="A461" s="28" t="s">
        <v>25</v>
      </c>
      <c r="B461" s="29">
        <v>1039787.02</v>
      </c>
      <c r="C461" s="134">
        <f>B461/B466</f>
        <v>0.62366792707581464</v>
      </c>
      <c r="D461" s="31">
        <v>23456.400000000001</v>
      </c>
      <c r="E461" s="30">
        <f>D461/D466</f>
        <v>6.9241847174254037E-2</v>
      </c>
      <c r="F461" s="32">
        <f>-13738.94+-283.26</f>
        <v>-14022.2</v>
      </c>
      <c r="G461" s="33">
        <f>B461+D461</f>
        <v>1063243.42</v>
      </c>
      <c r="H461" s="34">
        <f>G461/G466</f>
        <v>0.53003873606377705</v>
      </c>
    </row>
    <row r="462" spans="1:8" x14ac:dyDescent="0.2">
      <c r="A462" s="35" t="s">
        <v>26</v>
      </c>
      <c r="B462" s="36">
        <v>274762.43</v>
      </c>
      <c r="C462" s="135">
        <f>B462/B466</f>
        <v>0.16480347596223466</v>
      </c>
      <c r="D462" s="29">
        <v>51147.24</v>
      </c>
      <c r="E462" s="37">
        <f>D462/D466</f>
        <v>0.15098350025856028</v>
      </c>
      <c r="F462" s="38">
        <f>-27940.2+-1737.95</f>
        <v>-29678.15</v>
      </c>
      <c r="G462" s="33">
        <f>B462+D462</f>
        <v>325909.67</v>
      </c>
      <c r="H462" s="39">
        <f>G462/G466</f>
        <v>0.1624696154317726</v>
      </c>
    </row>
    <row r="463" spans="1:8" x14ac:dyDescent="0.2">
      <c r="A463" s="35" t="s">
        <v>27</v>
      </c>
      <c r="B463" s="36">
        <v>98690.19</v>
      </c>
      <c r="C463" s="135">
        <f>B463/B466</f>
        <v>5.9194724531200907E-2</v>
      </c>
      <c r="D463" s="33">
        <v>41470.160000000003</v>
      </c>
      <c r="E463" s="37">
        <f>D463/D466</f>
        <v>0.12241735650022438</v>
      </c>
      <c r="F463" s="38">
        <f>-22649.98+-2221.27</f>
        <v>-24871.25</v>
      </c>
      <c r="G463" s="33">
        <f>B463+D463</f>
        <v>140160.35</v>
      </c>
      <c r="H463" s="39">
        <f>G463/G466</f>
        <v>6.9871502012452263E-2</v>
      </c>
    </row>
    <row r="464" spans="1:8" x14ac:dyDescent="0.2">
      <c r="A464" s="35" t="s">
        <v>28</v>
      </c>
      <c r="B464" s="36">
        <v>52786.1</v>
      </c>
      <c r="C464" s="135">
        <f>B464/B466</f>
        <v>3.1661289218071459E-2</v>
      </c>
      <c r="D464" s="33">
        <v>50545.18</v>
      </c>
      <c r="E464" s="37">
        <f>D464/D466</f>
        <v>0.14920625624371864</v>
      </c>
      <c r="F464" s="38">
        <f>-7580.26+-1090.75</f>
        <v>-8671.01</v>
      </c>
      <c r="G464" s="33">
        <f>B464+D464</f>
        <v>103331.28</v>
      </c>
      <c r="H464" s="39">
        <f>G464/G466</f>
        <v>5.1511798725311884E-2</v>
      </c>
    </row>
    <row r="465" spans="1:8" ht="13.5" thickBot="1" x14ac:dyDescent="0.25">
      <c r="A465" s="40" t="s">
        <v>29</v>
      </c>
      <c r="B465" s="41">
        <v>201186.85</v>
      </c>
      <c r="C465" s="136">
        <f>B465/B466</f>
        <v>0.12067258321267835</v>
      </c>
      <c r="D465" s="42">
        <v>172141.48</v>
      </c>
      <c r="E465" s="43">
        <f>D465/D466</f>
        <v>0.50815103982324261</v>
      </c>
      <c r="F465" s="44">
        <f>-22260.85+-7882.04</f>
        <v>-30142.89</v>
      </c>
      <c r="G465" s="33">
        <f>B465+D465</f>
        <v>373328.33</v>
      </c>
      <c r="H465" s="45">
        <f>G465/G466</f>
        <v>0.18610834776668611</v>
      </c>
    </row>
    <row r="466" spans="1:8" ht="13.5" thickBot="1" x14ac:dyDescent="0.25">
      <c r="A466" s="46" t="s">
        <v>24</v>
      </c>
      <c r="B466" s="47">
        <f>SUM(B461:B465)</f>
        <v>1667212.59</v>
      </c>
      <c r="C466" s="137">
        <f>B466/B466</f>
        <v>1</v>
      </c>
      <c r="D466" s="47">
        <f>SUM(D461:D465)</f>
        <v>338760.46</v>
      </c>
      <c r="E466" s="48">
        <f>D466/D466</f>
        <v>1</v>
      </c>
      <c r="F466" s="49">
        <f>SUM(F461:F465)</f>
        <v>-107385.5</v>
      </c>
      <c r="G466" s="47">
        <f>SUM(G461:G465)</f>
        <v>2005973.05</v>
      </c>
      <c r="H466" s="50">
        <f>G466/G466</f>
        <v>1</v>
      </c>
    </row>
    <row r="469" spans="1:8" ht="13.5" thickBot="1" x14ac:dyDescent="0.25">
      <c r="A469" s="22" t="s">
        <v>54</v>
      </c>
    </row>
    <row r="470" spans="1:8" ht="13.5" thickBot="1" x14ac:dyDescent="0.25">
      <c r="A470" s="23" t="s">
        <v>19</v>
      </c>
      <c r="B470" s="24" t="s">
        <v>20</v>
      </c>
      <c r="C470" s="133" t="s">
        <v>21</v>
      </c>
      <c r="D470" s="25" t="s">
        <v>22</v>
      </c>
      <c r="E470" s="26" t="s">
        <v>21</v>
      </c>
      <c r="F470" s="27" t="s">
        <v>23</v>
      </c>
      <c r="G470" s="25" t="s">
        <v>24</v>
      </c>
      <c r="H470" s="25" t="s">
        <v>21</v>
      </c>
    </row>
    <row r="471" spans="1:8" x14ac:dyDescent="0.2">
      <c r="A471" s="28" t="s">
        <v>25</v>
      </c>
      <c r="B471" s="29">
        <v>665342.1</v>
      </c>
      <c r="C471" s="134">
        <f>B471/B476</f>
        <v>0.54953038030555545</v>
      </c>
      <c r="D471" s="31">
        <v>21984.080000000002</v>
      </c>
      <c r="E471" s="30">
        <f>D471/D476</f>
        <v>7.0719943063961913E-2</v>
      </c>
      <c r="F471" s="32">
        <f>-11127.85+-1305.83</f>
        <v>-12433.68</v>
      </c>
      <c r="G471" s="33">
        <f>B471+D471</f>
        <v>687326.17999999993</v>
      </c>
      <c r="H471" s="34">
        <f>G471/G476</f>
        <v>0.45171046768148182</v>
      </c>
    </row>
    <row r="472" spans="1:8" x14ac:dyDescent="0.2">
      <c r="A472" s="35" t="s">
        <v>26</v>
      </c>
      <c r="B472" s="36">
        <v>174936.56</v>
      </c>
      <c r="C472" s="135">
        <f>B472/B476</f>
        <v>0.14448650453074532</v>
      </c>
      <c r="D472" s="29">
        <v>45113.11</v>
      </c>
      <c r="E472" s="37">
        <f>D472/D476</f>
        <v>0.14512304224867498</v>
      </c>
      <c r="F472" s="38">
        <f>-29271.28+-725.34</f>
        <v>-29996.62</v>
      </c>
      <c r="G472" s="33">
        <f>B472+D472</f>
        <v>220049.66999999998</v>
      </c>
      <c r="H472" s="39">
        <f>G472/G476</f>
        <v>0.14461654777773159</v>
      </c>
    </row>
    <row r="473" spans="1:8" x14ac:dyDescent="0.2">
      <c r="A473" s="35" t="s">
        <v>27</v>
      </c>
      <c r="B473" s="36">
        <v>78398.64</v>
      </c>
      <c r="C473" s="135">
        <f>B473/B476</f>
        <v>6.4752304798746885E-2</v>
      </c>
      <c r="D473" s="33">
        <v>55163.45</v>
      </c>
      <c r="E473" s="37">
        <f>D473/D476</f>
        <v>0.17745368663194955</v>
      </c>
      <c r="F473" s="38">
        <f>-10826.01+-686.5</f>
        <v>-11512.51</v>
      </c>
      <c r="G473" s="33">
        <f>B473+D473</f>
        <v>133562.09</v>
      </c>
      <c r="H473" s="39">
        <f>G473/G476</f>
        <v>8.7776947676307296E-2</v>
      </c>
    </row>
    <row r="474" spans="1:8" x14ac:dyDescent="0.2">
      <c r="A474" s="35" t="s">
        <v>28</v>
      </c>
      <c r="B474" s="36">
        <v>49864.88</v>
      </c>
      <c r="C474" s="135">
        <f>B474/B476</f>
        <v>4.118522857683421E-2</v>
      </c>
      <c r="D474" s="33">
        <v>60060.4</v>
      </c>
      <c r="E474" s="37">
        <f>D474/D476</f>
        <v>0.19320654166100096</v>
      </c>
      <c r="F474" s="38">
        <f>-4614.79+-762.63</f>
        <v>-5377.42</v>
      </c>
      <c r="G474" s="33">
        <f>B474+D474</f>
        <v>109925.28</v>
      </c>
      <c r="H474" s="39">
        <f>G474/G476</f>
        <v>7.224284638600241E-2</v>
      </c>
    </row>
    <row r="475" spans="1:8" ht="13.5" thickBot="1" x14ac:dyDescent="0.25">
      <c r="A475" s="40" t="s">
        <v>29</v>
      </c>
      <c r="B475" s="41">
        <v>242204.53</v>
      </c>
      <c r="C475" s="136">
        <f>B475/B476</f>
        <v>0.20004558178811818</v>
      </c>
      <c r="D475" s="42">
        <v>128540.07</v>
      </c>
      <c r="E475" s="43">
        <f>D475/D476</f>
        <v>0.41349678639441262</v>
      </c>
      <c r="F475" s="44">
        <f>-16958.62+-7046.67</f>
        <v>-24005.29</v>
      </c>
      <c r="G475" s="33">
        <f>B475+D475</f>
        <v>370744.6</v>
      </c>
      <c r="H475" s="45">
        <f>G475/G476</f>
        <v>0.24365319047847692</v>
      </c>
    </row>
    <row r="476" spans="1:8" ht="13.5" thickBot="1" x14ac:dyDescent="0.25">
      <c r="A476" s="46" t="s">
        <v>24</v>
      </c>
      <c r="B476" s="47">
        <f>SUM(B471:B475)</f>
        <v>1210746.71</v>
      </c>
      <c r="C476" s="137">
        <f>B476/B476</f>
        <v>1</v>
      </c>
      <c r="D476" s="47">
        <f>SUM(D471:D475)</f>
        <v>310861.11</v>
      </c>
      <c r="E476" s="48">
        <f>D476/D476</f>
        <v>1</v>
      </c>
      <c r="F476" s="49">
        <f>SUM(F471:F475)</f>
        <v>-83325.52</v>
      </c>
      <c r="G476" s="47">
        <f>SUM(G471:G475)</f>
        <v>1521607.8199999998</v>
      </c>
      <c r="H476" s="50">
        <f>G476/G476</f>
        <v>1</v>
      </c>
    </row>
    <row r="478" spans="1:8" ht="13.5" thickBot="1" x14ac:dyDescent="0.25">
      <c r="A478" s="22" t="s">
        <v>53</v>
      </c>
    </row>
    <row r="479" spans="1:8" ht="13.5" thickBot="1" x14ac:dyDescent="0.25">
      <c r="A479" s="23" t="s">
        <v>19</v>
      </c>
      <c r="B479" s="24" t="s">
        <v>20</v>
      </c>
      <c r="C479" s="133" t="s">
        <v>21</v>
      </c>
      <c r="D479" s="25" t="s">
        <v>22</v>
      </c>
      <c r="E479" s="26" t="s">
        <v>21</v>
      </c>
      <c r="F479" s="27" t="s">
        <v>23</v>
      </c>
      <c r="G479" s="25" t="s">
        <v>24</v>
      </c>
      <c r="H479" s="25" t="s">
        <v>21</v>
      </c>
    </row>
    <row r="480" spans="1:8" x14ac:dyDescent="0.2">
      <c r="A480" s="28" t="s">
        <v>25</v>
      </c>
      <c r="B480" s="29">
        <v>645769.62</v>
      </c>
      <c r="C480" s="134">
        <f>B480/B485</f>
        <v>0.52985883077825779</v>
      </c>
      <c r="D480" s="31">
        <v>18199.34</v>
      </c>
      <c r="E480" s="30">
        <f>D480/D485</f>
        <v>4.1611293440221839E-2</v>
      </c>
      <c r="F480" s="32">
        <f>-11283.55+-2112.77</f>
        <v>-13396.32</v>
      </c>
      <c r="G480" s="33">
        <f>B480+D480</f>
        <v>663968.96</v>
      </c>
      <c r="H480" s="34">
        <f>G480/G485</f>
        <v>0.4009175959468283</v>
      </c>
    </row>
    <row r="481" spans="1:8" x14ac:dyDescent="0.2">
      <c r="A481" s="35" t="s">
        <v>26</v>
      </c>
      <c r="B481" s="36">
        <v>169951.3</v>
      </c>
      <c r="C481" s="135">
        <f>B481/B485</f>
        <v>0.13944632004714766</v>
      </c>
      <c r="D481" s="29">
        <v>57673.16</v>
      </c>
      <c r="E481" s="37">
        <f>D481/D485</f>
        <v>0.13186493490340115</v>
      </c>
      <c r="F481" s="38">
        <f>-16762.42+-774.2</f>
        <v>-17536.62</v>
      </c>
      <c r="G481" s="33">
        <f>B481+D481</f>
        <v>227624.46</v>
      </c>
      <c r="H481" s="39">
        <f>G481/G485</f>
        <v>0.13744415293434045</v>
      </c>
    </row>
    <row r="482" spans="1:8" x14ac:dyDescent="0.2">
      <c r="A482" s="35" t="s">
        <v>27</v>
      </c>
      <c r="B482" s="36">
        <v>88305.66</v>
      </c>
      <c r="C482" s="135">
        <f>B482/B485</f>
        <v>7.2455458277368906E-2</v>
      </c>
      <c r="D482" s="33">
        <v>51471.03</v>
      </c>
      <c r="E482" s="37">
        <f>D482/D485</f>
        <v>0.11768427497922788</v>
      </c>
      <c r="F482" s="38">
        <f>-7180.85+-558.16</f>
        <v>-7739.01</v>
      </c>
      <c r="G482" s="33">
        <f>B482+D482</f>
        <v>139776.69</v>
      </c>
      <c r="H482" s="39">
        <f>G482/G485</f>
        <v>8.4399931171790135E-2</v>
      </c>
    </row>
    <row r="483" spans="1:8" x14ac:dyDescent="0.2">
      <c r="A483" s="35" t="s">
        <v>28</v>
      </c>
      <c r="B483" s="36">
        <v>60439.9</v>
      </c>
      <c r="C483" s="135">
        <f>B483/B485</f>
        <v>4.9591392587274123E-2</v>
      </c>
      <c r="D483" s="33">
        <v>44963.99</v>
      </c>
      <c r="E483" s="37">
        <f>D483/D485</f>
        <v>0.10280646342851994</v>
      </c>
      <c r="F483" s="38">
        <f>-4334.97+-851.75</f>
        <v>-5186.72</v>
      </c>
      <c r="G483" s="33">
        <f>B483+D483</f>
        <v>105403.89</v>
      </c>
      <c r="H483" s="39">
        <f>G483/G485</f>
        <v>6.3644954400042947E-2</v>
      </c>
    </row>
    <row r="484" spans="1:8" ht="13.5" thickBot="1" x14ac:dyDescent="0.25">
      <c r="A484" s="40" t="s">
        <v>29</v>
      </c>
      <c r="B484" s="41">
        <v>254291.39</v>
      </c>
      <c r="C484" s="136">
        <f>B484/B485</f>
        <v>0.20864799830995143</v>
      </c>
      <c r="D484" s="42">
        <v>265057.88</v>
      </c>
      <c r="E484" s="43">
        <f>D484/D485</f>
        <v>0.60603303324862912</v>
      </c>
      <c r="F484" s="44">
        <f>-14758.11+-11138.67</f>
        <v>-25896.78</v>
      </c>
      <c r="G484" s="33">
        <f>B484+D484</f>
        <v>519349.27</v>
      </c>
      <c r="H484" s="45">
        <f>G484/G485</f>
        <v>0.31359336554699824</v>
      </c>
    </row>
    <row r="485" spans="1:8" ht="13.5" thickBot="1" x14ac:dyDescent="0.25">
      <c r="A485" s="46" t="s">
        <v>24</v>
      </c>
      <c r="B485" s="47">
        <f>SUM(B480:B484)</f>
        <v>1218757.8700000001</v>
      </c>
      <c r="C485" s="137">
        <f>B485/B485</f>
        <v>1</v>
      </c>
      <c r="D485" s="47">
        <f>SUM(D480:D484)</f>
        <v>437365.4</v>
      </c>
      <c r="E485" s="48">
        <f>D485/D485</f>
        <v>1</v>
      </c>
      <c r="F485" s="49">
        <f>SUM(F480:F484)</f>
        <v>-69755.45</v>
      </c>
      <c r="G485" s="47">
        <f>SUM(G480:G484)</f>
        <v>1656123.2699999998</v>
      </c>
      <c r="H485" s="50">
        <f>G485/G485</f>
        <v>1</v>
      </c>
    </row>
    <row r="487" spans="1:8" ht="14.25" customHeight="1" x14ac:dyDescent="0.2"/>
    <row r="488" spans="1:8" ht="13.5" thickBot="1" x14ac:dyDescent="0.25">
      <c r="A488" s="22" t="s">
        <v>52</v>
      </c>
    </row>
    <row r="489" spans="1:8" ht="13.5" thickBot="1" x14ac:dyDescent="0.25">
      <c r="A489" s="23" t="s">
        <v>19</v>
      </c>
      <c r="B489" s="24" t="s">
        <v>20</v>
      </c>
      <c r="C489" s="133" t="s">
        <v>21</v>
      </c>
      <c r="D489" s="25" t="s">
        <v>22</v>
      </c>
      <c r="E489" s="26" t="s">
        <v>21</v>
      </c>
      <c r="F489" s="27" t="s">
        <v>23</v>
      </c>
      <c r="G489" s="25" t="s">
        <v>24</v>
      </c>
      <c r="H489" s="25" t="s">
        <v>21</v>
      </c>
    </row>
    <row r="490" spans="1:8" x14ac:dyDescent="0.2">
      <c r="A490" s="28" t="s">
        <v>25</v>
      </c>
      <c r="B490" s="29">
        <v>465650.5</v>
      </c>
      <c r="C490" s="134">
        <f>B490/B495</f>
        <v>0.43082704307096337</v>
      </c>
      <c r="D490" s="31">
        <v>17992.97</v>
      </c>
      <c r="E490" s="30">
        <f>D490/D495</f>
        <v>4.4768116667902001E-2</v>
      </c>
      <c r="F490" s="32">
        <f>-260+-8923.68</f>
        <v>-9183.68</v>
      </c>
      <c r="G490" s="33">
        <f>B490+D490</f>
        <v>483643.47</v>
      </c>
      <c r="H490" s="34">
        <f>G490/G495</f>
        <v>0.326181337488332</v>
      </c>
    </row>
    <row r="491" spans="1:8" x14ac:dyDescent="0.2">
      <c r="A491" s="35" t="s">
        <v>26</v>
      </c>
      <c r="B491" s="36">
        <v>176393.34</v>
      </c>
      <c r="C491" s="135">
        <f>B491/B495</f>
        <v>0.16320184578264404</v>
      </c>
      <c r="D491" s="29">
        <v>53055.28</v>
      </c>
      <c r="E491" s="37">
        <f>D491/D495</f>
        <v>0.13200627605604898</v>
      </c>
      <c r="F491" s="38">
        <f>-361.66+-20948.79</f>
        <v>-21310.45</v>
      </c>
      <c r="G491" s="33">
        <f>B491+D491</f>
        <v>229448.62</v>
      </c>
      <c r="H491" s="39">
        <f>G491/G495</f>
        <v>0.15474592835183332</v>
      </c>
    </row>
    <row r="492" spans="1:8" x14ac:dyDescent="0.2">
      <c r="A492" s="35" t="s">
        <v>27</v>
      </c>
      <c r="B492" s="36">
        <v>95416.639999999999</v>
      </c>
      <c r="C492" s="135">
        <f>B492/B495</f>
        <v>8.8280950779536599E-2</v>
      </c>
      <c r="D492" s="33">
        <v>49442.11</v>
      </c>
      <c r="E492" s="37">
        <f>D492/D495</f>
        <v>0.12301638633239784</v>
      </c>
      <c r="F492" s="38">
        <f>-612.15+-9746.21</f>
        <v>-10358.359999999999</v>
      </c>
      <c r="G492" s="33">
        <f>B492+D492</f>
        <v>144858.75</v>
      </c>
      <c r="H492" s="39">
        <f>G492/G495</f>
        <v>9.7696389495112834E-2</v>
      </c>
    </row>
    <row r="493" spans="1:8" x14ac:dyDescent="0.2">
      <c r="A493" s="35" t="s">
        <v>28</v>
      </c>
      <c r="B493" s="36">
        <v>72068.11</v>
      </c>
      <c r="C493" s="135">
        <f>B493/B495</f>
        <v>6.6678529779336498E-2</v>
      </c>
      <c r="D493" s="33">
        <v>51374.37</v>
      </c>
      <c r="E493" s="37">
        <f>D493/D495</f>
        <v>0.12782402182074248</v>
      </c>
      <c r="F493" s="38">
        <f>-1017.62+-10248.48</f>
        <v>-11266.1</v>
      </c>
      <c r="G493" s="33">
        <f>B493+D493</f>
        <v>123442.48000000001</v>
      </c>
      <c r="H493" s="39">
        <f>G493/G495</f>
        <v>8.3252717604719612E-2</v>
      </c>
    </row>
    <row r="494" spans="1:8" ht="13.5" thickBot="1" x14ac:dyDescent="0.25">
      <c r="A494" s="40" t="s">
        <v>29</v>
      </c>
      <c r="B494" s="41">
        <v>271300.73</v>
      </c>
      <c r="C494" s="136">
        <f>B494/B495</f>
        <v>0.25101163058751963</v>
      </c>
      <c r="D494" s="42">
        <v>230050.1</v>
      </c>
      <c r="E494" s="43">
        <f>D494/D495</f>
        <v>0.57238519912290864</v>
      </c>
      <c r="F494" s="44">
        <f>-8145.81+-18061.21</f>
        <v>-26207.02</v>
      </c>
      <c r="G494" s="33">
        <f>B494+D494</f>
        <v>501350.82999999996</v>
      </c>
      <c r="H494" s="45">
        <f>G494/G495</f>
        <v>0.33812362706000221</v>
      </c>
    </row>
    <row r="495" spans="1:8" ht="13.5" thickBot="1" x14ac:dyDescent="0.25">
      <c r="A495" s="46" t="s">
        <v>24</v>
      </c>
      <c r="B495" s="47">
        <f>SUM(B490:B494)</f>
        <v>1080829.3199999998</v>
      </c>
      <c r="C495" s="137">
        <f>B495/B495</f>
        <v>1</v>
      </c>
      <c r="D495" s="47">
        <f>SUM(D490:D494)</f>
        <v>401914.83</v>
      </c>
      <c r="E495" s="48">
        <f>D495/D495</f>
        <v>1</v>
      </c>
      <c r="F495" s="49">
        <f>SUM(F490:F494)</f>
        <v>-78325.61</v>
      </c>
      <c r="G495" s="47">
        <f>SUM(G490:G494)</f>
        <v>1482744.15</v>
      </c>
      <c r="H495" s="50">
        <f>G495/G495</f>
        <v>1</v>
      </c>
    </row>
    <row r="497" spans="1:8" ht="16.5" customHeight="1" x14ac:dyDescent="0.2"/>
    <row r="498" spans="1:8" ht="16.5" customHeight="1" thickBot="1" x14ac:dyDescent="0.25">
      <c r="A498" s="22" t="s">
        <v>51</v>
      </c>
    </row>
    <row r="499" spans="1:8" ht="16.5" customHeight="1" thickBot="1" x14ac:dyDescent="0.25">
      <c r="A499" s="23" t="s">
        <v>19</v>
      </c>
      <c r="B499" s="24" t="s">
        <v>20</v>
      </c>
      <c r="C499" s="133" t="s">
        <v>21</v>
      </c>
      <c r="D499" s="25" t="s">
        <v>22</v>
      </c>
      <c r="E499" s="26" t="s">
        <v>21</v>
      </c>
      <c r="F499" s="27" t="s">
        <v>23</v>
      </c>
      <c r="G499" s="25" t="s">
        <v>24</v>
      </c>
      <c r="H499" s="25" t="s">
        <v>21</v>
      </c>
    </row>
    <row r="500" spans="1:8" ht="16.5" customHeight="1" x14ac:dyDescent="0.2">
      <c r="A500" s="28" t="s">
        <v>25</v>
      </c>
      <c r="B500" s="29">
        <v>812207.88</v>
      </c>
      <c r="C500" s="134">
        <f>B500/B505</f>
        <v>0.55113892989876001</v>
      </c>
      <c r="D500" s="31">
        <v>14538.18</v>
      </c>
      <c r="E500" s="30">
        <f>D500/D505</f>
        <v>4.2393553926773145E-2</v>
      </c>
      <c r="F500" s="32">
        <f>-7642.44+-616.02</f>
        <v>-8258.4599999999991</v>
      </c>
      <c r="G500" s="33">
        <f>B500+D500</f>
        <v>826746.06</v>
      </c>
      <c r="H500" s="34">
        <f>G500/G505</f>
        <v>0.45510035058720061</v>
      </c>
    </row>
    <row r="501" spans="1:8" ht="16.5" customHeight="1" x14ac:dyDescent="0.2">
      <c r="A501" s="35" t="s">
        <v>26</v>
      </c>
      <c r="B501" s="36">
        <v>171064.37</v>
      </c>
      <c r="C501" s="135">
        <f>B501/B505</f>
        <v>0.11607894499325165</v>
      </c>
      <c r="D501" s="29">
        <v>50047.89</v>
      </c>
      <c r="E501" s="37">
        <f>D501/D505</f>
        <v>0.14594040819663881</v>
      </c>
      <c r="F501" s="38">
        <f>-28492.29+-1049.34</f>
        <v>-29541.63</v>
      </c>
      <c r="G501" s="33">
        <f>B501+D501</f>
        <v>221112.26</v>
      </c>
      <c r="H501" s="39">
        <f>G501/G505</f>
        <v>0.12171605274433149</v>
      </c>
    </row>
    <row r="502" spans="1:8" ht="16.5" customHeight="1" x14ac:dyDescent="0.2">
      <c r="A502" s="35" t="s">
        <v>27</v>
      </c>
      <c r="B502" s="36">
        <v>116148.01</v>
      </c>
      <c r="C502" s="135">
        <f>B502/B505</f>
        <v>7.8814416256673681E-2</v>
      </c>
      <c r="D502" s="33">
        <v>39514.03</v>
      </c>
      <c r="E502" s="37">
        <f>D502/D505</f>
        <v>0.11522351227382875</v>
      </c>
      <c r="F502" s="38">
        <f>-26019.51+-1179.54</f>
        <v>-27199.05</v>
      </c>
      <c r="G502" s="33">
        <f>B502+D502</f>
        <v>155662.03999999998</v>
      </c>
      <c r="H502" s="39">
        <f>G502/G505</f>
        <v>8.5687555592486073E-2</v>
      </c>
    </row>
    <row r="503" spans="1:8" ht="16.5" customHeight="1" x14ac:dyDescent="0.2">
      <c r="A503" s="35" t="s">
        <v>28</v>
      </c>
      <c r="B503" s="36">
        <v>118812.04</v>
      </c>
      <c r="C503" s="135">
        <f>B503/B505</f>
        <v>8.0622143908144137E-2</v>
      </c>
      <c r="D503" s="33">
        <v>37049.78</v>
      </c>
      <c r="E503" s="37">
        <f>D503/D505</f>
        <v>0.10803772180596753</v>
      </c>
      <c r="F503" s="38">
        <f>-16514.48+-1433.95</f>
        <v>-17948.43</v>
      </c>
      <c r="G503" s="33">
        <f>B503+D503</f>
        <v>155861.82</v>
      </c>
      <c r="H503" s="39">
        <f>G503/G505</f>
        <v>8.5797528838733331E-2</v>
      </c>
    </row>
    <row r="504" spans="1:8" ht="16.5" customHeight="1" thickBot="1" x14ac:dyDescent="0.25">
      <c r="A504" s="40" t="s">
        <v>29</v>
      </c>
      <c r="B504" s="41">
        <v>255457.61</v>
      </c>
      <c r="C504" s="136">
        <f>B504/B505</f>
        <v>0.17334556494317041</v>
      </c>
      <c r="D504" s="42">
        <v>201783.86</v>
      </c>
      <c r="E504" s="43">
        <f>D504/D505</f>
        <v>0.58840480379679172</v>
      </c>
      <c r="F504" s="44">
        <f>-14990.49+-11041.82</f>
        <v>-26032.309999999998</v>
      </c>
      <c r="G504" s="33">
        <f>B504+D504</f>
        <v>457241.47</v>
      </c>
      <c r="H504" s="45">
        <f>G504/G505</f>
        <v>0.25169851223724843</v>
      </c>
    </row>
    <row r="505" spans="1:8" ht="16.5" customHeight="1" thickBot="1" x14ac:dyDescent="0.25">
      <c r="A505" s="46" t="s">
        <v>24</v>
      </c>
      <c r="B505" s="47">
        <f>SUM(B500:B504)</f>
        <v>1473689.9100000001</v>
      </c>
      <c r="C505" s="137">
        <f>B505/B505</f>
        <v>1</v>
      </c>
      <c r="D505" s="47">
        <f>SUM(D500:D504)</f>
        <v>342933.74</v>
      </c>
      <c r="E505" s="48">
        <f>D505/D505</f>
        <v>1</v>
      </c>
      <c r="F505" s="49">
        <f>SUM(F500:F504)</f>
        <v>-108979.88</v>
      </c>
      <c r="G505" s="47">
        <f>SUM(G500:G504)</f>
        <v>1816623.6500000001</v>
      </c>
      <c r="H505" s="50">
        <f>G505/G505</f>
        <v>1</v>
      </c>
    </row>
    <row r="506" spans="1:8" ht="16.5" customHeight="1" x14ac:dyDescent="0.2"/>
    <row r="507" spans="1:8" ht="16.5" customHeight="1" x14ac:dyDescent="0.2"/>
    <row r="508" spans="1:8" ht="16.5" customHeight="1" thickBot="1" x14ac:dyDescent="0.25">
      <c r="A508" s="22" t="s">
        <v>49</v>
      </c>
    </row>
    <row r="509" spans="1:8" ht="16.5" customHeight="1" thickBot="1" x14ac:dyDescent="0.25">
      <c r="A509" s="23" t="s">
        <v>19</v>
      </c>
      <c r="B509" s="24" t="s">
        <v>20</v>
      </c>
      <c r="C509" s="133" t="s">
        <v>21</v>
      </c>
      <c r="D509" s="25" t="s">
        <v>22</v>
      </c>
      <c r="E509" s="26" t="s">
        <v>21</v>
      </c>
      <c r="F509" s="27" t="s">
        <v>23</v>
      </c>
      <c r="G509" s="25" t="s">
        <v>24</v>
      </c>
      <c r="H509" s="25" t="s">
        <v>21</v>
      </c>
    </row>
    <row r="510" spans="1:8" ht="16.5" customHeight="1" x14ac:dyDescent="0.2">
      <c r="A510" s="28" t="s">
        <v>25</v>
      </c>
      <c r="B510" s="29">
        <v>756789.4</v>
      </c>
      <c r="C510" s="134">
        <f>B510/B515</f>
        <v>0.49900809213485303</v>
      </c>
      <c r="D510" s="31">
        <v>17017.66</v>
      </c>
      <c r="E510" s="30">
        <f>D510/D515</f>
        <v>5.2408141871286437E-2</v>
      </c>
      <c r="F510" s="32">
        <f>-258.74+-7533.82</f>
        <v>-7792.5599999999995</v>
      </c>
      <c r="G510" s="33">
        <f>B510+D510</f>
        <v>773807.06</v>
      </c>
      <c r="H510" s="34">
        <f>G510/G515</f>
        <v>0.42025006138592802</v>
      </c>
    </row>
    <row r="511" spans="1:8" ht="16.5" customHeight="1" x14ac:dyDescent="0.2">
      <c r="A511" s="35" t="s">
        <v>26</v>
      </c>
      <c r="B511" s="36">
        <v>244389.45</v>
      </c>
      <c r="C511" s="135">
        <f>B511/B515</f>
        <v>0.16114431991566749</v>
      </c>
      <c r="D511" s="29">
        <v>49558.7</v>
      </c>
      <c r="E511" s="37">
        <f>D511/D515</f>
        <v>0.15262259209295068</v>
      </c>
      <c r="F511" s="38">
        <f>-1009.45+-30539.43</f>
        <v>-31548.880000000001</v>
      </c>
      <c r="G511" s="33">
        <f>B511+D511</f>
        <v>293948.15000000002</v>
      </c>
      <c r="H511" s="39">
        <f>G511/G515</f>
        <v>0.15964151074271662</v>
      </c>
    </row>
    <row r="512" spans="1:8" ht="16.5" customHeight="1" x14ac:dyDescent="0.2">
      <c r="A512" s="35" t="s">
        <v>27</v>
      </c>
      <c r="B512" s="36">
        <v>145538.88</v>
      </c>
      <c r="C512" s="135">
        <f>B512/B515</f>
        <v>9.5964714675236359E-2</v>
      </c>
      <c r="D512" s="33">
        <v>45963.44</v>
      </c>
      <c r="E512" s="37">
        <f>D512/D515</f>
        <v>0.14155051190424311</v>
      </c>
      <c r="F512" s="38">
        <f>-2133.79+-21726.83</f>
        <v>-23860.620000000003</v>
      </c>
      <c r="G512" s="33">
        <f>B512+D512</f>
        <v>191502.32</v>
      </c>
      <c r="H512" s="39">
        <f>G512/G515</f>
        <v>0.10400378323706122</v>
      </c>
    </row>
    <row r="513" spans="1:8" ht="16.5" customHeight="1" x14ac:dyDescent="0.2">
      <c r="A513" s="35" t="s">
        <v>28</v>
      </c>
      <c r="B513" s="36">
        <v>123775.31</v>
      </c>
      <c r="C513" s="135">
        <f>B513/B515</f>
        <v>8.1614358362445336E-2</v>
      </c>
      <c r="D513" s="33">
        <v>56104.61</v>
      </c>
      <c r="E513" s="37">
        <f>D513/D515</f>
        <v>0.17278159044858082</v>
      </c>
      <c r="F513" s="38">
        <f>-968.73+-7756.64</f>
        <v>-8725.3700000000008</v>
      </c>
      <c r="G513" s="33">
        <f>B513+D513</f>
        <v>179879.91999999998</v>
      </c>
      <c r="H513" s="39">
        <f>G513/G515</f>
        <v>9.7691726180549193E-2</v>
      </c>
    </row>
    <row r="514" spans="1:8" ht="16.5" customHeight="1" thickBot="1" x14ac:dyDescent="0.25">
      <c r="A514" s="40" t="s">
        <v>29</v>
      </c>
      <c r="B514" s="41">
        <v>246094.39</v>
      </c>
      <c r="C514" s="136">
        <f>B514/B515</f>
        <v>0.16226851491179772</v>
      </c>
      <c r="D514" s="42">
        <v>156069.64000000001</v>
      </c>
      <c r="E514" s="43">
        <f>D514/D515</f>
        <v>0.48063716368293885</v>
      </c>
      <c r="F514" s="44">
        <f>-10485.22+-10796.65</f>
        <v>-21281.87</v>
      </c>
      <c r="G514" s="33">
        <f>B514+D514</f>
        <v>402164.03</v>
      </c>
      <c r="H514" s="45">
        <f>G514/G515</f>
        <v>0.21841291845374503</v>
      </c>
    </row>
    <row r="515" spans="1:8" ht="16.5" customHeight="1" thickBot="1" x14ac:dyDescent="0.25">
      <c r="A515" s="46" t="s">
        <v>24</v>
      </c>
      <c r="B515" s="47">
        <f>SUM(B510:B514)</f>
        <v>1516587.4300000002</v>
      </c>
      <c r="C515" s="137">
        <f>B515/B515</f>
        <v>1</v>
      </c>
      <c r="D515" s="47">
        <f>SUM(D510:D514)</f>
        <v>324714.05000000005</v>
      </c>
      <c r="E515" s="48">
        <f>D515/D515</f>
        <v>1</v>
      </c>
      <c r="F515" s="49">
        <f>SUM(F510:F514)</f>
        <v>-93209.3</v>
      </c>
      <c r="G515" s="47">
        <f>SUM(G510:G514)</f>
        <v>1841301.48</v>
      </c>
      <c r="H515" s="50">
        <f>G515/G515</f>
        <v>1</v>
      </c>
    </row>
    <row r="516" spans="1:8" ht="16.5" customHeight="1" x14ac:dyDescent="0.2"/>
    <row r="517" spans="1:8" ht="16.5" customHeight="1" x14ac:dyDescent="0.2"/>
    <row r="518" spans="1:8" ht="16.5" customHeight="1" thickBot="1" x14ac:dyDescent="0.25">
      <c r="A518" s="22" t="s">
        <v>50</v>
      </c>
    </row>
    <row r="519" spans="1:8" ht="16.5" customHeight="1" thickBot="1" x14ac:dyDescent="0.25">
      <c r="A519" s="23" t="s">
        <v>19</v>
      </c>
      <c r="B519" s="24" t="s">
        <v>20</v>
      </c>
      <c r="C519" s="133" t="s">
        <v>21</v>
      </c>
      <c r="D519" s="25" t="s">
        <v>22</v>
      </c>
      <c r="E519" s="26" t="s">
        <v>21</v>
      </c>
      <c r="F519" s="27" t="s">
        <v>23</v>
      </c>
      <c r="G519" s="25" t="s">
        <v>24</v>
      </c>
      <c r="H519" s="25" t="s">
        <v>21</v>
      </c>
    </row>
    <row r="520" spans="1:8" ht="16.5" customHeight="1" x14ac:dyDescent="0.2">
      <c r="A520" s="28" t="s">
        <v>25</v>
      </c>
      <c r="B520" s="29">
        <v>556037.89</v>
      </c>
      <c r="C520" s="134">
        <f>B520/B525</f>
        <v>0.42817469652433388</v>
      </c>
      <c r="D520" s="31">
        <v>19711.39</v>
      </c>
      <c r="E520" s="30">
        <f>D520/D525</f>
        <v>5.9717183487845313E-2</v>
      </c>
      <c r="F520" s="32">
        <f>-8931.74+-304.05</f>
        <v>-9235.7899999999991</v>
      </c>
      <c r="G520" s="33">
        <f>B520+D520</f>
        <v>575749.28</v>
      </c>
      <c r="H520" s="34">
        <f>G520/G525</f>
        <v>0.35350171779639228</v>
      </c>
    </row>
    <row r="521" spans="1:8" ht="16.5" customHeight="1" x14ac:dyDescent="0.2">
      <c r="A521" s="35" t="s">
        <v>26</v>
      </c>
      <c r="B521" s="36">
        <v>225070.63</v>
      </c>
      <c r="C521" s="135">
        <f>B521/B525</f>
        <v>0.17331471547162125</v>
      </c>
      <c r="D521" s="29">
        <v>70903.039999999994</v>
      </c>
      <c r="E521" s="37">
        <f>D521/D525</f>
        <v>0.21480625412647386</v>
      </c>
      <c r="F521" s="38">
        <f>-20400.57+-1690.73</f>
        <v>-22091.3</v>
      </c>
      <c r="G521" s="33">
        <f>B521+D521</f>
        <v>295973.67</v>
      </c>
      <c r="H521" s="39">
        <f>G521/G525</f>
        <v>0.18172354599818608</v>
      </c>
    </row>
    <row r="522" spans="1:8" ht="16.5" customHeight="1" x14ac:dyDescent="0.2">
      <c r="A522" s="35" t="s">
        <v>27</v>
      </c>
      <c r="B522" s="36">
        <v>183446.92</v>
      </c>
      <c r="C522" s="135">
        <f>B522/B525</f>
        <v>0.14126254831181337</v>
      </c>
      <c r="D522" s="33">
        <v>65968.58</v>
      </c>
      <c r="E522" s="37">
        <f>D522/D525</f>
        <v>0.19985692517334408</v>
      </c>
      <c r="F522" s="38">
        <f>-5349.08+-740.21</f>
        <v>-6089.29</v>
      </c>
      <c r="G522" s="33">
        <f>B522+D522</f>
        <v>249415.5</v>
      </c>
      <c r="H522" s="39">
        <f>G522/G525</f>
        <v>0.15313750404524357</v>
      </c>
    </row>
    <row r="523" spans="1:8" ht="16.5" customHeight="1" x14ac:dyDescent="0.2">
      <c r="A523" s="35" t="s">
        <v>28</v>
      </c>
      <c r="B523" s="36">
        <v>153396.31</v>
      </c>
      <c r="C523" s="135">
        <f>B523/B525</f>
        <v>0.11812219933825488</v>
      </c>
      <c r="D523" s="33">
        <v>43158.73</v>
      </c>
      <c r="E523" s="37">
        <f>D523/D525</f>
        <v>0.13075271700840857</v>
      </c>
      <c r="F523" s="38">
        <f>-4313.85+-1064.2</f>
        <v>-5378.05</v>
      </c>
      <c r="G523" s="33">
        <f>B523+D523</f>
        <v>196555.04</v>
      </c>
      <c r="H523" s="39">
        <f>G523/G525</f>
        <v>0.12068194732529861</v>
      </c>
    </row>
    <row r="524" spans="1:8" ht="16.5" customHeight="1" thickBot="1" x14ac:dyDescent="0.25">
      <c r="A524" s="40" t="s">
        <v>29</v>
      </c>
      <c r="B524" s="41">
        <v>180672.14</v>
      </c>
      <c r="C524" s="136">
        <f>B524/B525</f>
        <v>0.13912584035397654</v>
      </c>
      <c r="D524" s="42">
        <v>130337.29</v>
      </c>
      <c r="E524" s="43">
        <f>D524/D525</f>
        <v>0.39486692020392811</v>
      </c>
      <c r="F524" s="44">
        <f>-4922.45+-9888.07</f>
        <v>-14810.52</v>
      </c>
      <c r="G524" s="33">
        <f>B524+D524</f>
        <v>311009.43</v>
      </c>
      <c r="H524" s="45">
        <f>G524/G525</f>
        <v>0.19095528483487953</v>
      </c>
    </row>
    <row r="525" spans="1:8" ht="16.5" customHeight="1" thickBot="1" x14ac:dyDescent="0.25">
      <c r="A525" s="46" t="s">
        <v>24</v>
      </c>
      <c r="B525" s="47">
        <f>SUM(B520:B524)</f>
        <v>1298623.8900000001</v>
      </c>
      <c r="C525" s="137">
        <f>B525/B525</f>
        <v>1</v>
      </c>
      <c r="D525" s="47">
        <f>SUM(D520:D524)</f>
        <v>330079.03000000003</v>
      </c>
      <c r="E525" s="48">
        <f>D525/D525</f>
        <v>1</v>
      </c>
      <c r="F525" s="49">
        <f>SUM(F520:F524)</f>
        <v>-57604.95</v>
      </c>
      <c r="G525" s="47">
        <f>SUM(G520:G524)</f>
        <v>1628702.92</v>
      </c>
      <c r="H525" s="50">
        <f>G525/G525</f>
        <v>1</v>
      </c>
    </row>
    <row r="526" spans="1:8" ht="16.5" customHeight="1" x14ac:dyDescent="0.2"/>
    <row r="527" spans="1:8" ht="16.5" customHeight="1" x14ac:dyDescent="0.2"/>
    <row r="528" spans="1:8" ht="16.5" customHeight="1" thickBot="1" x14ac:dyDescent="0.25">
      <c r="A528" s="22" t="s">
        <v>30</v>
      </c>
    </row>
    <row r="529" spans="1:8" ht="16.5" customHeight="1" thickBot="1" x14ac:dyDescent="0.25">
      <c r="A529" s="23" t="s">
        <v>19</v>
      </c>
      <c r="B529" s="24" t="s">
        <v>20</v>
      </c>
      <c r="C529" s="133" t="s">
        <v>21</v>
      </c>
      <c r="D529" s="25" t="s">
        <v>22</v>
      </c>
      <c r="E529" s="26" t="s">
        <v>21</v>
      </c>
      <c r="F529" s="27" t="s">
        <v>23</v>
      </c>
      <c r="G529" s="25" t="s">
        <v>24</v>
      </c>
      <c r="H529" s="25" t="s">
        <v>21</v>
      </c>
    </row>
    <row r="530" spans="1:8" ht="16.5" customHeight="1" x14ac:dyDescent="0.2">
      <c r="A530" s="28" t="s">
        <v>25</v>
      </c>
      <c r="B530" s="29">
        <v>794302.07</v>
      </c>
      <c r="C530" s="134">
        <f>B530/B535</f>
        <v>0.48882521575318266</v>
      </c>
      <c r="D530" s="31">
        <v>24029.06</v>
      </c>
      <c r="E530" s="30">
        <f>D530/D535</f>
        <v>8.0979134335249212E-2</v>
      </c>
      <c r="F530" s="32">
        <f>-8492.44+-368</f>
        <v>-8860.44</v>
      </c>
      <c r="G530" s="33">
        <f>B530+D530</f>
        <v>818331.13</v>
      </c>
      <c r="H530" s="34">
        <f>G530/G535</f>
        <v>0.42584774367382694</v>
      </c>
    </row>
    <row r="531" spans="1:8" ht="16.5" customHeight="1" x14ac:dyDescent="0.2">
      <c r="A531" s="35" t="s">
        <v>26</v>
      </c>
      <c r="B531" s="36">
        <v>312673.3</v>
      </c>
      <c r="C531" s="135">
        <f>B531/B535</f>
        <v>0.19242376308141762</v>
      </c>
      <c r="D531" s="29">
        <v>73950.600000000006</v>
      </c>
      <c r="E531" s="37">
        <f>D531/D535</f>
        <v>0.24921722162965512</v>
      </c>
      <c r="F531" s="38">
        <f>-14655.55+-445.22</f>
        <v>-15100.769999999999</v>
      </c>
      <c r="G531" s="33">
        <f>B531+D531</f>
        <v>386623.9</v>
      </c>
      <c r="H531" s="39">
        <f>G531/G535</f>
        <v>0.20119351376181338</v>
      </c>
    </row>
    <row r="532" spans="1:8" ht="16.5" customHeight="1" x14ac:dyDescent="0.2">
      <c r="A532" s="35" t="s">
        <v>27</v>
      </c>
      <c r="B532" s="36">
        <v>232994.07</v>
      </c>
      <c r="C532" s="135">
        <f>B532/B535</f>
        <v>0.14338798907695424</v>
      </c>
      <c r="D532" s="33">
        <v>46340.91</v>
      </c>
      <c r="E532" s="37">
        <f>D532/D535</f>
        <v>0.15617118506124225</v>
      </c>
      <c r="F532" s="38">
        <f>-5930.99+-1013.56</f>
        <v>-6944.5499999999993</v>
      </c>
      <c r="G532" s="33">
        <f>B532+D532</f>
        <v>279334.98</v>
      </c>
      <c r="H532" s="39">
        <f>G532/G535</f>
        <v>0.14536190375914645</v>
      </c>
    </row>
    <row r="533" spans="1:8" ht="16.5" customHeight="1" x14ac:dyDescent="0.2">
      <c r="A533" s="35" t="s">
        <v>28</v>
      </c>
      <c r="B533" s="36">
        <v>126630.55</v>
      </c>
      <c r="C533" s="135">
        <f>B533/B535</f>
        <v>7.7930309214344851E-2</v>
      </c>
      <c r="D533" s="33">
        <v>42265.02</v>
      </c>
      <c r="E533" s="37">
        <f>D533/D535</f>
        <v>0.14243523185101681</v>
      </c>
      <c r="F533" s="38">
        <f>-2136.03+-257.16</f>
        <v>-2393.19</v>
      </c>
      <c r="G533" s="33">
        <f>B533+D533</f>
        <v>168895.57</v>
      </c>
      <c r="H533" s="39">
        <f>G533/G535</f>
        <v>8.7890824098314446E-2</v>
      </c>
    </row>
    <row r="534" spans="1:8" ht="16.5" customHeight="1" thickBot="1" x14ac:dyDescent="0.25">
      <c r="A534" s="40" t="s">
        <v>29</v>
      </c>
      <c r="B534" s="41">
        <v>158320.42000000001</v>
      </c>
      <c r="C534" s="136">
        <f>B534/B535</f>
        <v>9.7432722874100652E-2</v>
      </c>
      <c r="D534" s="42">
        <v>110145.91</v>
      </c>
      <c r="E534" s="43">
        <f>D534/D535</f>
        <v>0.37119722712283665</v>
      </c>
      <c r="F534" s="44">
        <f>-4639.74+-11983.77</f>
        <v>-16623.510000000002</v>
      </c>
      <c r="G534" s="33">
        <f>B534+D534</f>
        <v>268466.33</v>
      </c>
      <c r="H534" s="45">
        <f>G534/G535</f>
        <v>0.1397060147068987</v>
      </c>
    </row>
    <row r="535" spans="1:8" ht="16.5" customHeight="1" thickBot="1" x14ac:dyDescent="0.25">
      <c r="A535" s="46" t="s">
        <v>24</v>
      </c>
      <c r="B535" s="47">
        <f>SUM(B530:B534)</f>
        <v>1624920.41</v>
      </c>
      <c r="C535" s="137">
        <f>B535/B535</f>
        <v>1</v>
      </c>
      <c r="D535" s="47">
        <f>SUM(D530:D534)</f>
        <v>296731.5</v>
      </c>
      <c r="E535" s="48">
        <f>D535/D535</f>
        <v>1</v>
      </c>
      <c r="F535" s="49">
        <f>SUM(F530:F534)</f>
        <v>-49922.46</v>
      </c>
      <c r="G535" s="47">
        <f>SUM(G530:G534)</f>
        <v>1921651.9100000001</v>
      </c>
      <c r="H535" s="50">
        <f>G535/G535</f>
        <v>1</v>
      </c>
    </row>
    <row r="536" spans="1:8" ht="16.5" customHeight="1" x14ac:dyDescent="0.2">
      <c r="A536" s="17"/>
      <c r="B536" s="51"/>
      <c r="C536" s="138"/>
      <c r="D536" s="51"/>
      <c r="E536" s="52"/>
      <c r="F536" s="53"/>
      <c r="G536" s="51"/>
      <c r="H536" s="52"/>
    </row>
    <row r="537" spans="1:8" ht="16.5" customHeight="1" x14ac:dyDescent="0.2"/>
    <row r="538" spans="1:8" ht="16.5" customHeight="1" thickBot="1" x14ac:dyDescent="0.25">
      <c r="A538" s="22" t="s">
        <v>31</v>
      </c>
    </row>
    <row r="539" spans="1:8" ht="16.5" customHeight="1" thickBot="1" x14ac:dyDescent="0.25">
      <c r="A539" s="23" t="s">
        <v>19</v>
      </c>
      <c r="B539" s="24" t="s">
        <v>20</v>
      </c>
      <c r="C539" s="133" t="s">
        <v>21</v>
      </c>
      <c r="D539" s="25" t="s">
        <v>22</v>
      </c>
      <c r="E539" s="26" t="s">
        <v>21</v>
      </c>
      <c r="F539" s="27" t="s">
        <v>23</v>
      </c>
      <c r="G539" s="25" t="s">
        <v>24</v>
      </c>
      <c r="H539" s="25" t="s">
        <v>21</v>
      </c>
    </row>
    <row r="540" spans="1:8" ht="16.5" customHeight="1" x14ac:dyDescent="0.2">
      <c r="A540" s="28" t="s">
        <v>25</v>
      </c>
      <c r="B540" s="29">
        <v>863601.25</v>
      </c>
      <c r="C540" s="134">
        <f>B540/B545</f>
        <v>0.50883992907102182</v>
      </c>
      <c r="D540" s="31">
        <v>8462.23</v>
      </c>
      <c r="E540" s="30">
        <f>D540/D545</f>
        <v>4.1465242467564688E-2</v>
      </c>
      <c r="F540" s="32">
        <f>-188.73+-8824.06</f>
        <v>-9012.7899999999991</v>
      </c>
      <c r="G540" s="33">
        <f>B540+D540</f>
        <v>872063.48</v>
      </c>
      <c r="H540" s="34">
        <f>G540/G545</f>
        <v>0.45867264990336304</v>
      </c>
    </row>
    <row r="541" spans="1:8" ht="16.5" customHeight="1" x14ac:dyDescent="0.2">
      <c r="A541" s="35" t="s">
        <v>26</v>
      </c>
      <c r="B541" s="36">
        <v>409031.59</v>
      </c>
      <c r="C541" s="135">
        <f>B541/B545</f>
        <v>0.24100428900885368</v>
      </c>
      <c r="D541" s="29">
        <v>40536.230000000003</v>
      </c>
      <c r="E541" s="37">
        <f>D541/D545</f>
        <v>0.19862903816972238</v>
      </c>
      <c r="F541" s="38">
        <f>-1118.53+-15129.69</f>
        <v>-16248.220000000001</v>
      </c>
      <c r="G541" s="33">
        <f>B541+D541</f>
        <v>449567.82</v>
      </c>
      <c r="H541" s="39">
        <f>G541/G545</f>
        <v>0.23645579483580501</v>
      </c>
    </row>
    <row r="542" spans="1:8" ht="16.5" customHeight="1" x14ac:dyDescent="0.2">
      <c r="A542" s="35" t="s">
        <v>27</v>
      </c>
      <c r="B542" s="36">
        <v>191226.21</v>
      </c>
      <c r="C542" s="135">
        <f>B542/B545</f>
        <v>0.11267182757426569</v>
      </c>
      <c r="D542" s="33">
        <v>36132.559999999998</v>
      </c>
      <c r="E542" s="37">
        <f>D542/D545</f>
        <v>0.17705089100317872</v>
      </c>
      <c r="F542" s="38">
        <f>-352.27+-8135.32</f>
        <v>-8487.59</v>
      </c>
      <c r="G542" s="33">
        <f>B542+D542</f>
        <v>227358.77</v>
      </c>
      <c r="H542" s="39">
        <f>G542/G545</f>
        <v>0.11958217710787435</v>
      </c>
    </row>
    <row r="543" spans="1:8" ht="16.5" customHeight="1" x14ac:dyDescent="0.2">
      <c r="A543" s="35" t="s">
        <v>28</v>
      </c>
      <c r="B543" s="36">
        <v>90446.83</v>
      </c>
      <c r="C543" s="135">
        <f>B543/B545</f>
        <v>5.3291908229520013E-2</v>
      </c>
      <c r="D543" s="33">
        <v>29617.11</v>
      </c>
      <c r="E543" s="37">
        <f>D543/D545</f>
        <v>0.14512494311056717</v>
      </c>
      <c r="F543" s="38">
        <f>-496.55+-5697.96</f>
        <v>-6194.51</v>
      </c>
      <c r="G543" s="33">
        <f>B543+D543</f>
        <v>120063.94</v>
      </c>
      <c r="H543" s="39">
        <f>G543/G545</f>
        <v>6.3149124783482946E-2</v>
      </c>
    </row>
    <row r="544" spans="1:8" ht="16.5" customHeight="1" thickBot="1" x14ac:dyDescent="0.25">
      <c r="A544" s="40" t="s">
        <v>29</v>
      </c>
      <c r="B544" s="41">
        <v>142890.43</v>
      </c>
      <c r="C544" s="136">
        <f>B544/B545</f>
        <v>8.4192046116338765E-2</v>
      </c>
      <c r="D544" s="42">
        <v>89331.95</v>
      </c>
      <c r="E544" s="43">
        <f>D544/D545</f>
        <v>0.43772988524896694</v>
      </c>
      <c r="F544" s="44">
        <f>-11118.34+-4365.69</f>
        <v>-15484.029999999999</v>
      </c>
      <c r="G544" s="33">
        <f>B544+D544</f>
        <v>232222.38</v>
      </c>
      <c r="H544" s="45">
        <f>G544/G545</f>
        <v>0.12214025336947459</v>
      </c>
    </row>
    <row r="545" spans="1:8" ht="16.5" customHeight="1" thickBot="1" x14ac:dyDescent="0.25">
      <c r="A545" s="46" t="s">
        <v>24</v>
      </c>
      <c r="B545" s="47">
        <f>SUM(B540:B544)</f>
        <v>1697196.31</v>
      </c>
      <c r="C545" s="137">
        <f>B545/B545</f>
        <v>1</v>
      </c>
      <c r="D545" s="47">
        <f>SUM(D540:D544)</f>
        <v>204080.08000000002</v>
      </c>
      <c r="E545" s="48">
        <f>D545/D545</f>
        <v>1</v>
      </c>
      <c r="F545" s="49">
        <f>SUM(F540:F544)</f>
        <v>-55427.140000000007</v>
      </c>
      <c r="G545" s="47">
        <f>SUM(G540:G544)</f>
        <v>1901276.3900000001</v>
      </c>
      <c r="H545" s="50">
        <f>G545/G545</f>
        <v>1</v>
      </c>
    </row>
    <row r="546" spans="1:8" ht="16.5" customHeight="1" x14ac:dyDescent="0.2">
      <c r="A546" s="17"/>
      <c r="B546" s="51"/>
      <c r="C546" s="138"/>
      <c r="D546" s="51"/>
      <c r="E546" s="52"/>
      <c r="F546" s="53"/>
      <c r="G546" s="51"/>
      <c r="H546" s="52"/>
    </row>
    <row r="547" spans="1:8" ht="16.5" customHeight="1" x14ac:dyDescent="0.2"/>
    <row r="548" spans="1:8" ht="16.5" customHeight="1" thickBot="1" x14ac:dyDescent="0.25">
      <c r="A548" s="22" t="s">
        <v>32</v>
      </c>
    </row>
    <row r="549" spans="1:8" ht="16.5" customHeight="1" thickBot="1" x14ac:dyDescent="0.25">
      <c r="A549" s="23" t="s">
        <v>19</v>
      </c>
      <c r="B549" s="24" t="s">
        <v>20</v>
      </c>
      <c r="C549" s="133" t="s">
        <v>21</v>
      </c>
      <c r="D549" s="25" t="s">
        <v>22</v>
      </c>
      <c r="E549" s="26" t="s">
        <v>21</v>
      </c>
      <c r="F549" s="27" t="s">
        <v>23</v>
      </c>
      <c r="G549" s="25" t="s">
        <v>24</v>
      </c>
      <c r="H549" s="25" t="s">
        <v>21</v>
      </c>
    </row>
    <row r="550" spans="1:8" ht="16.5" customHeight="1" x14ac:dyDescent="0.2">
      <c r="A550" s="28" t="s">
        <v>25</v>
      </c>
      <c r="B550" s="29">
        <v>727769.29</v>
      </c>
      <c r="C550" s="134">
        <f>B550/B555</f>
        <v>0.55236764950209294</v>
      </c>
      <c r="D550" s="31">
        <v>-4374</v>
      </c>
      <c r="E550" s="30">
        <f>D550/D555</f>
        <v>-2.6335879034623248E-2</v>
      </c>
      <c r="F550" s="32">
        <f>-688.46+-18367.07</f>
        <v>-19055.53</v>
      </c>
      <c r="G550" s="33">
        <f>B550+D550</f>
        <v>723395.29</v>
      </c>
      <c r="H550" s="34">
        <f>G550/G555</f>
        <v>0.48758459915799374</v>
      </c>
    </row>
    <row r="551" spans="1:8" ht="16.5" customHeight="1" x14ac:dyDescent="0.2">
      <c r="A551" s="35" t="s">
        <v>26</v>
      </c>
      <c r="B551" s="36">
        <v>285593.62</v>
      </c>
      <c r="C551" s="135">
        <f>B551/B555</f>
        <v>0.21676193095780932</v>
      </c>
      <c r="D551" s="29">
        <v>41470.160000000003</v>
      </c>
      <c r="E551" s="37">
        <f>D551/D555</f>
        <v>0.2496920707147855</v>
      </c>
      <c r="F551" s="38">
        <f>-295.37+-9288.73</f>
        <v>-9584.1</v>
      </c>
      <c r="G551" s="33">
        <f>B551+D551</f>
        <v>327063.78000000003</v>
      </c>
      <c r="H551" s="39">
        <f>G551/G555</f>
        <v>0.22044830022379364</v>
      </c>
    </row>
    <row r="552" spans="1:8" ht="16.5" customHeight="1" x14ac:dyDescent="0.2">
      <c r="A552" s="35" t="s">
        <v>27</v>
      </c>
      <c r="B552" s="36">
        <v>129474.25</v>
      </c>
      <c r="C552" s="135">
        <f>B552/B555</f>
        <v>9.8269311615974284E-2</v>
      </c>
      <c r="D552" s="33">
        <v>33577.17</v>
      </c>
      <c r="E552" s="37">
        <f>D552/D555</f>
        <v>0.20216833274919538</v>
      </c>
      <c r="F552" s="38">
        <f>-693.4+-5722.22</f>
        <v>-6415.62</v>
      </c>
      <c r="G552" s="33">
        <f>B552+D552</f>
        <v>163051.41999999998</v>
      </c>
      <c r="H552" s="39">
        <f>G552/G555</f>
        <v>0.10990030258953121</v>
      </c>
    </row>
    <row r="553" spans="1:8" ht="16.5" customHeight="1" x14ac:dyDescent="0.2">
      <c r="A553" s="35" t="s">
        <v>28</v>
      </c>
      <c r="B553" s="36">
        <v>65842.820000000007</v>
      </c>
      <c r="C553" s="135">
        <f>B553/B555</f>
        <v>4.9973864272274252E-2</v>
      </c>
      <c r="D553" s="33">
        <v>28135.94</v>
      </c>
      <c r="E553" s="37">
        <f>D553/D555</f>
        <v>0.1694066557762729</v>
      </c>
      <c r="F553" s="38">
        <f>-288.15+-2051.9</f>
        <v>-2340.0500000000002</v>
      </c>
      <c r="G553" s="33">
        <f>B553+D553</f>
        <v>93978.760000000009</v>
      </c>
      <c r="H553" s="39">
        <f>G553/G555</f>
        <v>6.334378542050681E-2</v>
      </c>
    </row>
    <row r="554" spans="1:8" ht="16.5" customHeight="1" thickBot="1" x14ac:dyDescent="0.25">
      <c r="A554" s="40" t="s">
        <v>29</v>
      </c>
      <c r="B554" s="41">
        <v>108865.12</v>
      </c>
      <c r="C554" s="136">
        <f>B554/B555</f>
        <v>8.2627243651849175E-2</v>
      </c>
      <c r="D554" s="42">
        <v>67275.94</v>
      </c>
      <c r="E554" s="43">
        <f>D554/D555</f>
        <v>0.40506881979436937</v>
      </c>
      <c r="F554" s="44">
        <f>-11971.85+-5173.2</f>
        <v>-17145.05</v>
      </c>
      <c r="G554" s="33">
        <f>B554+D554</f>
        <v>176141.06</v>
      </c>
      <c r="H554" s="45">
        <f>G554/G555</f>
        <v>0.1187230126081746</v>
      </c>
    </row>
    <row r="555" spans="1:8" ht="16.5" customHeight="1" thickBot="1" x14ac:dyDescent="0.25">
      <c r="A555" s="46" t="s">
        <v>24</v>
      </c>
      <c r="B555" s="47">
        <f>SUM(B550:B554)</f>
        <v>1317545.1000000001</v>
      </c>
      <c r="C555" s="137">
        <f>B555/B555</f>
        <v>1</v>
      </c>
      <c r="D555" s="47">
        <f>SUM(D550:D554)</f>
        <v>166085.21000000002</v>
      </c>
      <c r="E555" s="48">
        <f>D555/D555</f>
        <v>1</v>
      </c>
      <c r="F555" s="49">
        <f>SUM(F550:F554)</f>
        <v>-54540.350000000006</v>
      </c>
      <c r="G555" s="47">
        <f>SUM(G550:G554)</f>
        <v>1483630.31</v>
      </c>
      <c r="H555" s="50">
        <f>G555/G555</f>
        <v>1</v>
      </c>
    </row>
    <row r="556" spans="1:8" ht="16.5" customHeight="1" x14ac:dyDescent="0.2">
      <c r="A556" s="17"/>
      <c r="B556" s="51"/>
      <c r="C556" s="138"/>
      <c r="D556" s="51"/>
      <c r="E556" s="52"/>
      <c r="F556" s="53"/>
      <c r="G556" s="51"/>
      <c r="H556" s="52"/>
    </row>
    <row r="557" spans="1:8" ht="16.5" customHeight="1" x14ac:dyDescent="0.2"/>
    <row r="558" spans="1:8" ht="16.5" customHeight="1" thickBot="1" x14ac:dyDescent="0.25">
      <c r="A558" s="22" t="s">
        <v>33</v>
      </c>
    </row>
    <row r="559" spans="1:8" ht="16.5" customHeight="1" thickBot="1" x14ac:dyDescent="0.25">
      <c r="A559" s="23" t="s">
        <v>19</v>
      </c>
      <c r="B559" s="24" t="s">
        <v>20</v>
      </c>
      <c r="C559" s="133" t="s">
        <v>21</v>
      </c>
      <c r="D559" s="25" t="s">
        <v>22</v>
      </c>
      <c r="E559" s="26" t="s">
        <v>21</v>
      </c>
      <c r="F559" s="27" t="s">
        <v>23</v>
      </c>
      <c r="G559" s="25" t="s">
        <v>24</v>
      </c>
      <c r="H559" s="25" t="s">
        <v>21</v>
      </c>
    </row>
    <row r="560" spans="1:8" ht="16.5" customHeight="1" x14ac:dyDescent="0.2">
      <c r="A560" s="28" t="s">
        <v>25</v>
      </c>
      <c r="B560" s="29">
        <v>554688.31999999995</v>
      </c>
      <c r="C560" s="134">
        <f>B560/B565</f>
        <v>0.57193768018491364</v>
      </c>
      <c r="D560" s="31">
        <v>2105.6</v>
      </c>
      <c r="E560" s="30">
        <f>D560/D565</f>
        <v>1.504951451807139E-2</v>
      </c>
      <c r="F560" s="32">
        <f>-187+-10498.69</f>
        <v>-10685.69</v>
      </c>
      <c r="G560" s="33">
        <f>B560+D560</f>
        <v>556793.91999999993</v>
      </c>
      <c r="H560" s="34">
        <f>G560/G565</f>
        <v>0.50172825102776564</v>
      </c>
    </row>
    <row r="561" spans="1:8" ht="16.5" customHeight="1" x14ac:dyDescent="0.2">
      <c r="A561" s="35" t="s">
        <v>26</v>
      </c>
      <c r="B561" s="36">
        <v>206355.49</v>
      </c>
      <c r="C561" s="135">
        <f>B561/B565</f>
        <v>0.21277260758622277</v>
      </c>
      <c r="D561" s="29">
        <v>34453.910000000003</v>
      </c>
      <c r="E561" s="37">
        <f>D561/D565</f>
        <v>0.24625504309903359</v>
      </c>
      <c r="F561" s="38">
        <f>-581.24+-6496.49</f>
        <v>-7077.73</v>
      </c>
      <c r="G561" s="33">
        <f>B561+D561</f>
        <v>240809.4</v>
      </c>
      <c r="H561" s="39">
        <f>G561/G565</f>
        <v>0.21699389083315715</v>
      </c>
    </row>
    <row r="562" spans="1:8" ht="16.5" customHeight="1" x14ac:dyDescent="0.2">
      <c r="A562" s="35" t="s">
        <v>27</v>
      </c>
      <c r="B562" s="36">
        <v>88325.87</v>
      </c>
      <c r="C562" s="135">
        <f>B562/B565</f>
        <v>9.1072574212693463E-2</v>
      </c>
      <c r="D562" s="33">
        <v>27632.14</v>
      </c>
      <c r="E562" s="37">
        <f>D562/D565</f>
        <v>0.19749728917903742</v>
      </c>
      <c r="F562" s="38">
        <f>-841.33+-5194.94</f>
        <v>-6036.2699999999995</v>
      </c>
      <c r="G562" s="33">
        <f>B562+D562</f>
        <v>115958.01</v>
      </c>
      <c r="H562" s="39">
        <f>G562/G565</f>
        <v>0.10449002307704826</v>
      </c>
    </row>
    <row r="563" spans="1:8" ht="16.5" customHeight="1" x14ac:dyDescent="0.2">
      <c r="A563" s="35" t="s">
        <v>28</v>
      </c>
      <c r="B563" s="36">
        <v>45806.31</v>
      </c>
      <c r="C563" s="135">
        <f>B563/B565</f>
        <v>4.7230766783102653E-2</v>
      </c>
      <c r="D563" s="33">
        <v>19779.72</v>
      </c>
      <c r="E563" s="37">
        <f>D563/D565</f>
        <v>0.14137309237432896</v>
      </c>
      <c r="F563" s="38">
        <f>-972.79+-2747.19</f>
        <v>-3719.98</v>
      </c>
      <c r="G563" s="33">
        <f>B563+D563</f>
        <v>65586.03</v>
      </c>
      <c r="H563" s="39">
        <f>G563/G565</f>
        <v>5.9099718839879883E-2</v>
      </c>
    </row>
    <row r="564" spans="1:8" ht="16.5" customHeight="1" thickBot="1" x14ac:dyDescent="0.25">
      <c r="A564" s="40" t="s">
        <v>29</v>
      </c>
      <c r="B564" s="41">
        <v>74664.5</v>
      </c>
      <c r="C564" s="136">
        <f>B564/B565</f>
        <v>7.698637123306741E-2</v>
      </c>
      <c r="D564" s="42">
        <v>55940.12</v>
      </c>
      <c r="E564" s="43">
        <f>D564/D565</f>
        <v>0.39982506082952879</v>
      </c>
      <c r="F564" s="44">
        <f>-17614.08+-5029.61</f>
        <v>-22643.690000000002</v>
      </c>
      <c r="G564" s="33">
        <f>B564+D564</f>
        <v>130604.62</v>
      </c>
      <c r="H564" s="45">
        <f>G564/G565</f>
        <v>0.11768811622214902</v>
      </c>
    </row>
    <row r="565" spans="1:8" ht="16.5" customHeight="1" thickBot="1" x14ac:dyDescent="0.25">
      <c r="A565" s="46" t="s">
        <v>24</v>
      </c>
      <c r="B565" s="47">
        <f>SUM(B560:B564)</f>
        <v>969840.49</v>
      </c>
      <c r="C565" s="137">
        <f>B565/B565</f>
        <v>1</v>
      </c>
      <c r="D565" s="47">
        <f>SUM(D560:D564)</f>
        <v>139911.49</v>
      </c>
      <c r="E565" s="48">
        <f>D565/D565</f>
        <v>1</v>
      </c>
      <c r="F565" s="49">
        <f>SUM(F560:F564)</f>
        <v>-50163.360000000001</v>
      </c>
      <c r="G565" s="47">
        <f>SUM(G560:G564)</f>
        <v>1109751.98</v>
      </c>
      <c r="H565" s="50">
        <f>G565/G565</f>
        <v>1</v>
      </c>
    </row>
    <row r="566" spans="1:8" ht="16.5" customHeight="1" x14ac:dyDescent="0.2">
      <c r="A566" s="17"/>
      <c r="B566" s="51"/>
      <c r="C566" s="138"/>
      <c r="D566" s="51"/>
      <c r="E566" s="52"/>
      <c r="F566" s="53"/>
      <c r="G566" s="51"/>
      <c r="H566" s="52"/>
    </row>
    <row r="567" spans="1:8" ht="16.5" customHeight="1" x14ac:dyDescent="0.2"/>
    <row r="568" spans="1:8" ht="16.5" customHeight="1" thickBot="1" x14ac:dyDescent="0.25">
      <c r="A568" s="22" t="s">
        <v>34</v>
      </c>
    </row>
    <row r="569" spans="1:8" ht="16.5" customHeight="1" thickBot="1" x14ac:dyDescent="0.25">
      <c r="A569" s="23" t="s">
        <v>19</v>
      </c>
      <c r="B569" s="24" t="s">
        <v>20</v>
      </c>
      <c r="C569" s="133" t="s">
        <v>21</v>
      </c>
      <c r="D569" s="25" t="s">
        <v>22</v>
      </c>
      <c r="E569" s="26" t="s">
        <v>21</v>
      </c>
      <c r="F569" s="27" t="s">
        <v>23</v>
      </c>
      <c r="G569" s="25" t="s">
        <v>24</v>
      </c>
      <c r="H569" s="25" t="s">
        <v>21</v>
      </c>
    </row>
    <row r="570" spans="1:8" ht="16.5" customHeight="1" x14ac:dyDescent="0.2">
      <c r="A570" s="28" t="s">
        <v>25</v>
      </c>
      <c r="B570" s="29">
        <v>480721.83</v>
      </c>
      <c r="C570" s="134">
        <f>B570/B575</f>
        <v>0.62484344528567082</v>
      </c>
      <c r="D570" s="31">
        <v>80.27</v>
      </c>
      <c r="E570" s="30">
        <f>D570/D575</f>
        <v>6.6767978985595854E-4</v>
      </c>
      <c r="F570" s="32">
        <f>-402.24+-10671.73</f>
        <v>-11073.97</v>
      </c>
      <c r="G570" s="33">
        <f>B570+D570</f>
        <v>480802.10000000003</v>
      </c>
      <c r="H570" s="34">
        <f>G570/G575</f>
        <v>0.54048824986150057</v>
      </c>
    </row>
    <row r="571" spans="1:8" ht="16.5" customHeight="1" x14ac:dyDescent="0.2">
      <c r="A571" s="35" t="s">
        <v>26</v>
      </c>
      <c r="B571" s="36">
        <v>145770.16</v>
      </c>
      <c r="C571" s="135">
        <f>B571/B575</f>
        <v>0.18947242107612106</v>
      </c>
      <c r="D571" s="29">
        <v>31127.77</v>
      </c>
      <c r="E571" s="37">
        <f>D571/D575</f>
        <v>0.25891843692892252</v>
      </c>
      <c r="F571" s="38">
        <f>-324.14+-9060.76</f>
        <v>-9384.9</v>
      </c>
      <c r="G571" s="33">
        <f>B571+D571</f>
        <v>176897.93</v>
      </c>
      <c r="H571" s="39">
        <f>G571/G575</f>
        <v>0.19885780987608462</v>
      </c>
    </row>
    <row r="572" spans="1:8" ht="16.5" customHeight="1" x14ac:dyDescent="0.2">
      <c r="A572" s="35" t="s">
        <v>27</v>
      </c>
      <c r="B572" s="36">
        <v>58335.71</v>
      </c>
      <c r="C572" s="135">
        <f>B572/B575</f>
        <v>7.5824902770872213E-2</v>
      </c>
      <c r="D572" s="33">
        <v>22560.240000000002</v>
      </c>
      <c r="E572" s="37">
        <f>D572/D575</f>
        <v>0.18765437027905807</v>
      </c>
      <c r="F572" s="38">
        <f>-716.01+-5667.08</f>
        <v>-6383.09</v>
      </c>
      <c r="G572" s="33">
        <f>B572+D572</f>
        <v>80895.95</v>
      </c>
      <c r="H572" s="39">
        <f>G572/G575</f>
        <v>9.0938268440140871E-2</v>
      </c>
    </row>
    <row r="573" spans="1:8" ht="16.5" customHeight="1" x14ac:dyDescent="0.2">
      <c r="A573" s="35" t="s">
        <v>28</v>
      </c>
      <c r="B573" s="36">
        <v>40468.78</v>
      </c>
      <c r="C573" s="135">
        <f>B573/B575</f>
        <v>5.2601422160728273E-2</v>
      </c>
      <c r="D573" s="33">
        <v>16348.96</v>
      </c>
      <c r="E573" s="37">
        <f>D573/D575</f>
        <v>0.13598941294585115</v>
      </c>
      <c r="F573" s="38">
        <f>-1273.13+-1356.63</f>
        <v>-2629.76</v>
      </c>
      <c r="G573" s="33">
        <f>B573+D573</f>
        <v>56817.74</v>
      </c>
      <c r="H573" s="39">
        <f>G573/G575</f>
        <v>6.3871020641727172E-2</v>
      </c>
    </row>
    <row r="574" spans="1:8" ht="16.5" customHeight="1" thickBot="1" x14ac:dyDescent="0.25">
      <c r="A574" s="40" t="s">
        <v>29</v>
      </c>
      <c r="B574" s="41">
        <v>44051.16</v>
      </c>
      <c r="C574" s="136">
        <f>B574/B575</f>
        <v>5.7257808706607592E-2</v>
      </c>
      <c r="D574" s="42">
        <v>50105.06</v>
      </c>
      <c r="E574" s="43">
        <f>D574/D575</f>
        <v>0.41677010005631238</v>
      </c>
      <c r="F574" s="44">
        <f>-19636.27+-3687.03</f>
        <v>-23323.3</v>
      </c>
      <c r="G574" s="33">
        <f>B574+D574</f>
        <v>94156.22</v>
      </c>
      <c r="H574" s="45">
        <f>G574/G575</f>
        <v>0.10584465118054687</v>
      </c>
    </row>
    <row r="575" spans="1:8" ht="16.5" customHeight="1" thickBot="1" x14ac:dyDescent="0.25">
      <c r="A575" s="46" t="s">
        <v>24</v>
      </c>
      <c r="B575" s="47">
        <f>SUM(B570:B574)</f>
        <v>769347.64</v>
      </c>
      <c r="C575" s="137">
        <f>B575/B575</f>
        <v>1</v>
      </c>
      <c r="D575" s="47">
        <f>SUM(D570:D574)</f>
        <v>120222.29999999999</v>
      </c>
      <c r="E575" s="48">
        <f>D575/D575</f>
        <v>1</v>
      </c>
      <c r="F575" s="49">
        <f>SUM(F570:F574)</f>
        <v>-52795.020000000004</v>
      </c>
      <c r="G575" s="47">
        <f>SUM(G570:G574)</f>
        <v>889569.94</v>
      </c>
      <c r="H575" s="50">
        <f>G575/G575</f>
        <v>1</v>
      </c>
    </row>
    <row r="576" spans="1:8" ht="16.5" customHeight="1" x14ac:dyDescent="0.2">
      <c r="A576" s="17"/>
      <c r="B576" s="51"/>
      <c r="C576" s="138"/>
      <c r="D576" s="51"/>
      <c r="E576" s="52"/>
      <c r="F576" s="53"/>
      <c r="G576" s="51"/>
      <c r="H576" s="52"/>
    </row>
    <row r="577" spans="1:8" ht="16.5" customHeight="1" x14ac:dyDescent="0.2"/>
    <row r="578" spans="1:8" ht="16.5" customHeight="1" thickBot="1" x14ac:dyDescent="0.25">
      <c r="A578" s="22" t="s">
        <v>35</v>
      </c>
    </row>
    <row r="579" spans="1:8" ht="16.5" customHeight="1" thickBot="1" x14ac:dyDescent="0.25">
      <c r="A579" s="23" t="s">
        <v>19</v>
      </c>
      <c r="B579" s="24" t="s">
        <v>20</v>
      </c>
      <c r="C579" s="133" t="s">
        <v>21</v>
      </c>
      <c r="D579" s="25" t="s">
        <v>22</v>
      </c>
      <c r="E579" s="26" t="s">
        <v>21</v>
      </c>
      <c r="F579" s="27" t="s">
        <v>23</v>
      </c>
      <c r="G579" s="25" t="s">
        <v>24</v>
      </c>
      <c r="H579" s="25" t="s">
        <v>21</v>
      </c>
    </row>
    <row r="580" spans="1:8" ht="16.5" customHeight="1" x14ac:dyDescent="0.2">
      <c r="A580" s="28" t="s">
        <v>25</v>
      </c>
      <c r="B580" s="29">
        <v>320773</v>
      </c>
      <c r="C580" s="134">
        <f>B580/B585</f>
        <v>0.5477379362219208</v>
      </c>
      <c r="D580" s="31">
        <v>2818.72</v>
      </c>
      <c r="E580" s="30">
        <f>D580/D585</f>
        <v>2.4752929109491003E-2</v>
      </c>
      <c r="F580" s="54">
        <f>-8582.31+-262</f>
        <v>-8844.31</v>
      </c>
      <c r="G580" s="33">
        <f>B580+D580</f>
        <v>323591.71999999997</v>
      </c>
      <c r="H580" s="34">
        <f>G580/G585</f>
        <v>0.46260005179366109</v>
      </c>
    </row>
    <row r="581" spans="1:8" ht="16.5" customHeight="1" x14ac:dyDescent="0.2">
      <c r="A581" s="35" t="s">
        <v>26</v>
      </c>
      <c r="B581" s="36">
        <v>120003.98</v>
      </c>
      <c r="C581" s="135">
        <f>B581/B585</f>
        <v>0.20491354429336839</v>
      </c>
      <c r="D581" s="29">
        <v>27520.86</v>
      </c>
      <c r="E581" s="37">
        <f>D581/D585</f>
        <v>0.24167774614442961</v>
      </c>
      <c r="F581" s="55">
        <f>-5198.6+-307.47</f>
        <v>-5506.0700000000006</v>
      </c>
      <c r="G581" s="33">
        <f>B581+D581</f>
        <v>147524.84</v>
      </c>
      <c r="H581" s="39">
        <f>G581/G585</f>
        <v>0.21089846991403727</v>
      </c>
    </row>
    <row r="582" spans="1:8" ht="16.5" customHeight="1" x14ac:dyDescent="0.2">
      <c r="A582" s="35" t="s">
        <v>27</v>
      </c>
      <c r="B582" s="36">
        <v>53336.81</v>
      </c>
      <c r="C582" s="135">
        <f>B582/B585</f>
        <v>9.1075602479200893E-2</v>
      </c>
      <c r="D582" s="33">
        <v>19296.560000000001</v>
      </c>
      <c r="E582" s="37">
        <f>D582/D585</f>
        <v>0.16945506532647434</v>
      </c>
      <c r="F582" s="55">
        <f>-1154.27-523.19</f>
        <v>-1677.46</v>
      </c>
      <c r="G582" s="33">
        <f>B582+D582</f>
        <v>72633.37</v>
      </c>
      <c r="H582" s="39">
        <f>G582/G585</f>
        <v>0.10383516835334398</v>
      </c>
    </row>
    <row r="583" spans="1:8" ht="16.5" customHeight="1" x14ac:dyDescent="0.2">
      <c r="A583" s="35" t="s">
        <v>28</v>
      </c>
      <c r="B583" s="36">
        <v>34247.47</v>
      </c>
      <c r="C583" s="135">
        <f>B583/B585</f>
        <v>5.8479480937055635E-2</v>
      </c>
      <c r="D583" s="33">
        <v>16219.82</v>
      </c>
      <c r="E583" s="37">
        <f>D583/D585</f>
        <v>0.14243630251628553</v>
      </c>
      <c r="F583" s="55">
        <f>-795.05+-1156.68</f>
        <v>-1951.73</v>
      </c>
      <c r="G583" s="33">
        <f>B583+D583</f>
        <v>50467.29</v>
      </c>
      <c r="H583" s="39">
        <f>G583/G585</f>
        <v>7.2146997357922862E-2</v>
      </c>
    </row>
    <row r="584" spans="1:8" ht="16.5" customHeight="1" thickBot="1" x14ac:dyDescent="0.25">
      <c r="A584" s="40" t="s">
        <v>29</v>
      </c>
      <c r="B584" s="41">
        <v>57270.99</v>
      </c>
      <c r="C584" s="136">
        <f>B584/B585</f>
        <v>9.7793436068454212E-2</v>
      </c>
      <c r="D584" s="42">
        <v>48018.239999999998</v>
      </c>
      <c r="E584" s="43">
        <f>D584/D585</f>
        <v>0.42167795690331966</v>
      </c>
      <c r="F584" s="56">
        <f>-2329.71+-20083.72</f>
        <v>-22413.43</v>
      </c>
      <c r="G584" s="33">
        <f>B584+D584</f>
        <v>105289.23</v>
      </c>
      <c r="H584" s="45">
        <f>G584/G585</f>
        <v>0.15051931258103482</v>
      </c>
    </row>
    <row r="585" spans="1:8" ht="16.5" customHeight="1" thickBot="1" x14ac:dyDescent="0.25">
      <c r="A585" s="46" t="s">
        <v>24</v>
      </c>
      <c r="B585" s="47">
        <f>SUM(B580:B584)</f>
        <v>585632.25</v>
      </c>
      <c r="C585" s="137">
        <f>B585/B585</f>
        <v>1</v>
      </c>
      <c r="D585" s="47">
        <f>SUM(D580:D584)</f>
        <v>113874.19999999998</v>
      </c>
      <c r="E585" s="48">
        <f>D585/D585</f>
        <v>1</v>
      </c>
      <c r="F585" s="49">
        <f>SUM(F580:F584)</f>
        <v>-40393</v>
      </c>
      <c r="G585" s="47">
        <f>SUM(G580:G584)</f>
        <v>699506.45</v>
      </c>
      <c r="H585" s="50">
        <f>G585/G585</f>
        <v>1</v>
      </c>
    </row>
    <row r="586" spans="1:8" ht="16.5" customHeight="1" x14ac:dyDescent="0.2">
      <c r="A586" s="17"/>
      <c r="B586" s="51"/>
      <c r="C586" s="138"/>
      <c r="D586" s="51"/>
      <c r="E586" s="52"/>
      <c r="F586" s="53"/>
      <c r="G586" s="51"/>
      <c r="H586" s="52"/>
    </row>
    <row r="587" spans="1:8" ht="16.5" customHeight="1" x14ac:dyDescent="0.2"/>
    <row r="588" spans="1:8" ht="16.5" customHeight="1" thickBot="1" x14ac:dyDescent="0.25">
      <c r="A588" s="22" t="s">
        <v>36</v>
      </c>
    </row>
    <row r="589" spans="1:8" ht="16.5" customHeight="1" thickBot="1" x14ac:dyDescent="0.25">
      <c r="A589" s="23" t="s">
        <v>19</v>
      </c>
      <c r="B589" s="24" t="s">
        <v>20</v>
      </c>
      <c r="C589" s="133" t="s">
        <v>21</v>
      </c>
      <c r="D589" s="25" t="s">
        <v>22</v>
      </c>
      <c r="E589" s="26" t="s">
        <v>21</v>
      </c>
      <c r="F589" s="27" t="s">
        <v>23</v>
      </c>
      <c r="G589" s="25" t="s">
        <v>24</v>
      </c>
      <c r="H589" s="25" t="s">
        <v>21</v>
      </c>
    </row>
    <row r="590" spans="1:8" ht="16.5" customHeight="1" x14ac:dyDescent="0.2">
      <c r="A590" s="28" t="s">
        <v>25</v>
      </c>
      <c r="B590" s="29">
        <v>269269.71000000002</v>
      </c>
      <c r="C590" s="134">
        <f>B590/B595</f>
        <v>0.55997084829425714</v>
      </c>
      <c r="D590" s="31">
        <v>6629.93</v>
      </c>
      <c r="E590" s="30">
        <f>D590/D595</f>
        <v>6.4258258509148083E-2</v>
      </c>
      <c r="F590" s="54">
        <f>-79.56+-1236.22</f>
        <v>-1315.78</v>
      </c>
      <c r="G590" s="33">
        <f>B590+D590</f>
        <v>275899.64</v>
      </c>
      <c r="H590" s="34">
        <f>G590/G595</f>
        <v>0.47239844537389741</v>
      </c>
    </row>
    <row r="591" spans="1:8" ht="16.5" customHeight="1" x14ac:dyDescent="0.2">
      <c r="A591" s="35" t="s">
        <v>26</v>
      </c>
      <c r="B591" s="36">
        <v>86813.77</v>
      </c>
      <c r="C591" s="135">
        <f>B591/B595</f>
        <v>0.18053712922453302</v>
      </c>
      <c r="D591" s="29">
        <v>24239.32</v>
      </c>
      <c r="E591" s="37">
        <f>D591/D595</f>
        <v>0.23493106120969048</v>
      </c>
      <c r="F591" s="55">
        <f>-900.06+-4154.99</f>
        <v>-5055.0499999999993</v>
      </c>
      <c r="G591" s="33">
        <f>B591+D591</f>
        <v>111053.09</v>
      </c>
      <c r="H591" s="39">
        <f>G591/G595</f>
        <v>0.1901463411476996</v>
      </c>
    </row>
    <row r="592" spans="1:8" ht="16.5" customHeight="1" x14ac:dyDescent="0.2">
      <c r="A592" s="35" t="s">
        <v>27</v>
      </c>
      <c r="B592" s="36">
        <v>41078.11</v>
      </c>
      <c r="C592" s="135">
        <f>B592/B595</f>
        <v>8.5425665229946601E-2</v>
      </c>
      <c r="D592" s="33">
        <v>20177.28</v>
      </c>
      <c r="E592" s="37">
        <f>D592/D595</f>
        <v>0.19556117097035161</v>
      </c>
      <c r="F592" s="55">
        <f>-824.1+-2275.95</f>
        <v>-3100.0499999999997</v>
      </c>
      <c r="G592" s="33">
        <f>B592+D592</f>
        <v>61255.39</v>
      </c>
      <c r="H592" s="39">
        <f>G592/G595</f>
        <v>0.10488216297336155</v>
      </c>
    </row>
    <row r="593" spans="1:8" ht="16.5" customHeight="1" x14ac:dyDescent="0.2">
      <c r="A593" s="35" t="s">
        <v>28</v>
      </c>
      <c r="B593" s="36">
        <v>29961.25</v>
      </c>
      <c r="C593" s="135">
        <f>B593/B595</f>
        <v>6.2307143935559292E-2</v>
      </c>
      <c r="D593" s="33">
        <v>18108.509999999998</v>
      </c>
      <c r="E593" s="37">
        <f>D593/D595</f>
        <v>0.17551034728805479</v>
      </c>
      <c r="F593" s="55">
        <f>-672.91+-1461.34</f>
        <v>-2134.25</v>
      </c>
      <c r="G593" s="33">
        <f>B593+D593</f>
        <v>48069.759999999995</v>
      </c>
      <c r="H593" s="39">
        <f>G593/G595</f>
        <v>8.2305580005455445E-2</v>
      </c>
    </row>
    <row r="594" spans="1:8" ht="16.5" customHeight="1" thickBot="1" x14ac:dyDescent="0.25">
      <c r="A594" s="40" t="s">
        <v>29</v>
      </c>
      <c r="B594" s="41">
        <v>53740.959999999999</v>
      </c>
      <c r="C594" s="136">
        <f>B594/B595</f>
        <v>0.11175921331570393</v>
      </c>
      <c r="D594" s="42">
        <v>34021.269999999997</v>
      </c>
      <c r="E594" s="43">
        <f>D594/D595</f>
        <v>0.32973916202275499</v>
      </c>
      <c r="F594" s="56">
        <f>-6365.25+-2101.46</f>
        <v>-8466.7099999999991</v>
      </c>
      <c r="G594" s="33">
        <f>B594+D594</f>
        <v>87762.23</v>
      </c>
      <c r="H594" s="45">
        <f>G594/G595</f>
        <v>0.15026747049958605</v>
      </c>
    </row>
    <row r="595" spans="1:8" ht="16.5" customHeight="1" thickBot="1" x14ac:dyDescent="0.25">
      <c r="A595" s="46" t="s">
        <v>24</v>
      </c>
      <c r="B595" s="47">
        <f>SUM(B590:B594)</f>
        <v>480863.80000000005</v>
      </c>
      <c r="C595" s="137">
        <f>B595/B595</f>
        <v>1</v>
      </c>
      <c r="D595" s="47">
        <f>SUM(D590:D594)</f>
        <v>103176.31</v>
      </c>
      <c r="E595" s="48">
        <f>D595/D595</f>
        <v>1</v>
      </c>
      <c r="F595" s="49">
        <f>SUM(F590:F594)</f>
        <v>-20071.839999999997</v>
      </c>
      <c r="G595" s="47">
        <f>SUM(G590:G594)</f>
        <v>584040.11</v>
      </c>
      <c r="H595" s="50">
        <f>G595/G595</f>
        <v>1</v>
      </c>
    </row>
    <row r="596" spans="1:8" ht="16.5" customHeight="1" x14ac:dyDescent="0.2">
      <c r="A596" s="17"/>
      <c r="B596" s="51"/>
      <c r="C596" s="138"/>
      <c r="D596" s="51"/>
      <c r="E596" s="52"/>
      <c r="F596" s="53"/>
      <c r="G596" s="51"/>
      <c r="H596" s="52"/>
    </row>
    <row r="597" spans="1:8" ht="16.5" customHeight="1" x14ac:dyDescent="0.2"/>
    <row r="598" spans="1:8" ht="16.5" customHeight="1" thickBot="1" x14ac:dyDescent="0.25">
      <c r="A598" s="22" t="s">
        <v>37</v>
      </c>
    </row>
    <row r="599" spans="1:8" ht="16.5" customHeight="1" thickBot="1" x14ac:dyDescent="0.25">
      <c r="A599" s="23" t="s">
        <v>19</v>
      </c>
      <c r="B599" s="24" t="s">
        <v>20</v>
      </c>
      <c r="C599" s="133" t="s">
        <v>21</v>
      </c>
      <c r="D599" s="25" t="s">
        <v>22</v>
      </c>
      <c r="E599" s="26" t="s">
        <v>21</v>
      </c>
      <c r="F599" s="27" t="s">
        <v>23</v>
      </c>
      <c r="G599" s="25" t="s">
        <v>24</v>
      </c>
      <c r="H599" s="25" t="s">
        <v>21</v>
      </c>
    </row>
    <row r="600" spans="1:8" ht="16.5" customHeight="1" x14ac:dyDescent="0.2">
      <c r="A600" s="28" t="s">
        <v>25</v>
      </c>
      <c r="B600" s="29">
        <v>191094.13</v>
      </c>
      <c r="C600" s="134">
        <f>B600/B605</f>
        <v>0.50654417658158168</v>
      </c>
      <c r="D600" s="31">
        <v>8387.7000000000007</v>
      </c>
      <c r="E600" s="30">
        <f>D600/D605</f>
        <v>9.2970026402303715E-2</v>
      </c>
      <c r="F600" s="54">
        <f>-183.66+-2587.07</f>
        <v>-2770.73</v>
      </c>
      <c r="G600" s="33">
        <f>B600+D600</f>
        <v>199481.83000000002</v>
      </c>
      <c r="H600" s="34">
        <f>G600/G605</f>
        <v>0.42672642122307425</v>
      </c>
    </row>
    <row r="601" spans="1:8" ht="16.5" customHeight="1" x14ac:dyDescent="0.2">
      <c r="A601" s="35" t="s">
        <v>26</v>
      </c>
      <c r="B601" s="36">
        <v>73108.33</v>
      </c>
      <c r="C601" s="135">
        <f>B601/B605</f>
        <v>0.19379244574966559</v>
      </c>
      <c r="D601" s="29">
        <v>26004.41</v>
      </c>
      <c r="E601" s="37">
        <f>D601/D605</f>
        <v>0.28823523543716761</v>
      </c>
      <c r="F601" s="55">
        <f>-561.3+-5443.9</f>
        <v>-6005.2</v>
      </c>
      <c r="G601" s="33">
        <f>B601+D601</f>
        <v>99112.74</v>
      </c>
      <c r="H601" s="39">
        <f>G601/G605</f>
        <v>0.2120194347415654</v>
      </c>
    </row>
    <row r="602" spans="1:8" ht="16.5" customHeight="1" x14ac:dyDescent="0.2">
      <c r="A602" s="35" t="s">
        <v>27</v>
      </c>
      <c r="B602" s="36">
        <v>45785.75</v>
      </c>
      <c r="C602" s="135">
        <f>B602/B605</f>
        <v>0.12136691500110522</v>
      </c>
      <c r="D602" s="33">
        <v>18748.580000000002</v>
      </c>
      <c r="E602" s="37">
        <f>D602/D605</f>
        <v>0.20781095861865631</v>
      </c>
      <c r="F602" s="55">
        <f>-410.05+-4861.22</f>
        <v>-5271.27</v>
      </c>
      <c r="G602" s="33">
        <f>B602+D602</f>
        <v>64534.33</v>
      </c>
      <c r="H602" s="39">
        <f>G602/G605</f>
        <v>0.13805018575841657</v>
      </c>
    </row>
    <row r="603" spans="1:8" ht="16.5" customHeight="1" x14ac:dyDescent="0.2">
      <c r="A603" s="35" t="s">
        <v>28</v>
      </c>
      <c r="B603" s="36">
        <v>25832.27</v>
      </c>
      <c r="C603" s="135">
        <f>B603/B605</f>
        <v>6.8475080508140648E-2</v>
      </c>
      <c r="D603" s="33">
        <v>15669.35</v>
      </c>
      <c r="E603" s="37">
        <f>D603/D605</f>
        <v>0.17368049443911177</v>
      </c>
      <c r="F603" s="55">
        <f>-852.11+-3242.17</f>
        <v>-4094.28</v>
      </c>
      <c r="G603" s="33">
        <f>B603+D603</f>
        <v>41501.620000000003</v>
      </c>
      <c r="H603" s="39">
        <f>G603/G605</f>
        <v>8.8779202484556924E-2</v>
      </c>
    </row>
    <row r="604" spans="1:8" ht="16.5" customHeight="1" thickBot="1" x14ac:dyDescent="0.25">
      <c r="A604" s="40" t="s">
        <v>29</v>
      </c>
      <c r="B604" s="41">
        <v>41430.19</v>
      </c>
      <c r="C604" s="136">
        <f>B604/B605</f>
        <v>0.10982138215950683</v>
      </c>
      <c r="D604" s="42">
        <v>21409.360000000001</v>
      </c>
      <c r="E604" s="43">
        <f>D604/D605</f>
        <v>0.23730328510276058</v>
      </c>
      <c r="F604" s="56">
        <f>-4803.48+-2251.1</f>
        <v>-7054.58</v>
      </c>
      <c r="G604" s="33">
        <f>B604+D604</f>
        <v>62839.55</v>
      </c>
      <c r="H604" s="45">
        <f>G604/G605</f>
        <v>0.13442475579238689</v>
      </c>
    </row>
    <row r="605" spans="1:8" ht="16.5" customHeight="1" thickBot="1" x14ac:dyDescent="0.25">
      <c r="A605" s="46" t="s">
        <v>24</v>
      </c>
      <c r="B605" s="47">
        <f>SUM(B600:B604)</f>
        <v>377250.67000000004</v>
      </c>
      <c r="C605" s="137">
        <f>B605/B605</f>
        <v>1</v>
      </c>
      <c r="D605" s="47">
        <f>SUM(D600:D604)</f>
        <v>90219.400000000009</v>
      </c>
      <c r="E605" s="48">
        <f>D605/D605</f>
        <v>1</v>
      </c>
      <c r="F605" s="49">
        <f>SUM(F600:F604)</f>
        <v>-25196.059999999998</v>
      </c>
      <c r="G605" s="47">
        <f>SUM(G600:G604)</f>
        <v>467470.07</v>
      </c>
      <c r="H605" s="50">
        <f>G605/G605</f>
        <v>1</v>
      </c>
    </row>
    <row r="606" spans="1:8" ht="16.5" customHeight="1" x14ac:dyDescent="0.2">
      <c r="A606" s="17"/>
      <c r="B606" s="51"/>
      <c r="C606" s="138"/>
      <c r="D606" s="51"/>
      <c r="E606" s="52"/>
      <c r="F606" s="53"/>
      <c r="G606" s="51"/>
      <c r="H606" s="52"/>
    </row>
    <row r="607" spans="1:8" ht="16.5" customHeight="1" x14ac:dyDescent="0.2"/>
    <row r="608" spans="1:8" ht="16.5" customHeight="1" thickBot="1" x14ac:dyDescent="0.25">
      <c r="A608" s="22" t="s">
        <v>38</v>
      </c>
    </row>
    <row r="609" spans="1:8" ht="16.5" customHeight="1" thickBot="1" x14ac:dyDescent="0.25">
      <c r="A609" s="23" t="s">
        <v>19</v>
      </c>
      <c r="B609" s="24" t="s">
        <v>20</v>
      </c>
      <c r="C609" s="133" t="s">
        <v>21</v>
      </c>
      <c r="D609" s="25" t="s">
        <v>22</v>
      </c>
      <c r="E609" s="26" t="s">
        <v>21</v>
      </c>
      <c r="F609" s="27" t="s">
        <v>23</v>
      </c>
      <c r="G609" s="25" t="s">
        <v>24</v>
      </c>
      <c r="H609" s="25" t="s">
        <v>21</v>
      </c>
    </row>
    <row r="610" spans="1:8" ht="16.5" customHeight="1" x14ac:dyDescent="0.2">
      <c r="A610" s="28" t="s">
        <v>25</v>
      </c>
      <c r="B610" s="29">
        <v>241641.95</v>
      </c>
      <c r="C610" s="134">
        <f>B610/B615</f>
        <v>0.54054941290664726</v>
      </c>
      <c r="D610" s="31">
        <v>5067.45</v>
      </c>
      <c r="E610" s="30">
        <f>D610/D615</f>
        <v>7.8993887753527295E-2</v>
      </c>
      <c r="F610" s="54">
        <f>-2589.88+-145</f>
        <v>-2734.88</v>
      </c>
      <c r="G610" s="33">
        <f>B610+D610</f>
        <v>246709.40000000002</v>
      </c>
      <c r="H610" s="34">
        <f>G610/G615</f>
        <v>0.48262709408309012</v>
      </c>
    </row>
    <row r="611" spans="1:8" ht="16.5" customHeight="1" x14ac:dyDescent="0.2">
      <c r="A611" s="35" t="s">
        <v>26</v>
      </c>
      <c r="B611" s="36">
        <v>110892.73</v>
      </c>
      <c r="C611" s="135">
        <f>B611/B615</f>
        <v>0.24806537150157637</v>
      </c>
      <c r="D611" s="29">
        <v>21730.67</v>
      </c>
      <c r="E611" s="37">
        <f>D611/D615</f>
        <v>0.33874830670040018</v>
      </c>
      <c r="F611" s="55">
        <f>-3881.73+-111.9</f>
        <v>-3993.63</v>
      </c>
      <c r="G611" s="33">
        <f>B611+D611</f>
        <v>132623.4</v>
      </c>
      <c r="H611" s="39">
        <f>G611/G615</f>
        <v>0.25944551018088197</v>
      </c>
    </row>
    <row r="612" spans="1:8" ht="16.5" customHeight="1" x14ac:dyDescent="0.2">
      <c r="A612" s="35" t="s">
        <v>27</v>
      </c>
      <c r="B612" s="36">
        <v>45405.19</v>
      </c>
      <c r="C612" s="135">
        <f>B612/B615</f>
        <v>0.10157072808514735</v>
      </c>
      <c r="D612" s="33">
        <v>16681.580000000002</v>
      </c>
      <c r="E612" s="37">
        <f>D612/D615</f>
        <v>0.26004062360190744</v>
      </c>
      <c r="F612" s="55">
        <f>-4462.95+-748.22</f>
        <v>-5211.17</v>
      </c>
      <c r="G612" s="33">
        <f>B612+D612</f>
        <v>62086.770000000004</v>
      </c>
      <c r="H612" s="39">
        <f>G612/G615</f>
        <v>0.12145770443325296</v>
      </c>
    </row>
    <row r="613" spans="1:8" ht="16.5" customHeight="1" x14ac:dyDescent="0.2">
      <c r="A613" s="35" t="s">
        <v>28</v>
      </c>
      <c r="B613" s="36">
        <v>21156.78</v>
      </c>
      <c r="C613" s="135">
        <f>B613/B615</f>
        <v>4.732739910431568E-2</v>
      </c>
      <c r="D613" s="33">
        <v>13245.35</v>
      </c>
      <c r="E613" s="37">
        <f>D613/D615</f>
        <v>0.2064749906079355</v>
      </c>
      <c r="F613" s="55">
        <f>-1330.23+-721.98</f>
        <v>-2052.21</v>
      </c>
      <c r="G613" s="33">
        <f>B613+D613</f>
        <v>34402.129999999997</v>
      </c>
      <c r="H613" s="39">
        <f>G613/G615</f>
        <v>6.7299422041351864E-2</v>
      </c>
    </row>
    <row r="614" spans="1:8" ht="16.5" customHeight="1" thickBot="1" x14ac:dyDescent="0.25">
      <c r="A614" s="40" t="s">
        <v>29</v>
      </c>
      <c r="B614" s="41">
        <v>27933.62</v>
      </c>
      <c r="C614" s="136">
        <f>B614/B615</f>
        <v>6.2487088402313332E-2</v>
      </c>
      <c r="D614" s="42">
        <v>7424.85</v>
      </c>
      <c r="E614" s="43">
        <f>D614/D615</f>
        <v>0.11574219133622969</v>
      </c>
      <c r="F614" s="56">
        <f>-870.08+-2729.78</f>
        <v>-3599.86</v>
      </c>
      <c r="G614" s="33">
        <f>B614+D614</f>
        <v>35358.47</v>
      </c>
      <c r="H614" s="45">
        <f>G614/G615</f>
        <v>6.9170269261423029E-2</v>
      </c>
    </row>
    <row r="615" spans="1:8" ht="16.5" customHeight="1" thickBot="1" x14ac:dyDescent="0.25">
      <c r="A615" s="46" t="s">
        <v>24</v>
      </c>
      <c r="B615" s="47">
        <f>SUM(B610:B614)</f>
        <v>447030.27</v>
      </c>
      <c r="C615" s="137">
        <f>B615/B615</f>
        <v>1</v>
      </c>
      <c r="D615" s="47">
        <f>SUM(D610:D614)</f>
        <v>64149.899999999994</v>
      </c>
      <c r="E615" s="48">
        <f>D615/D615</f>
        <v>1</v>
      </c>
      <c r="F615" s="49">
        <f>SUM(F610:F614)</f>
        <v>-17591.75</v>
      </c>
      <c r="G615" s="47">
        <f>SUM(G610:G614)</f>
        <v>511180.17000000004</v>
      </c>
      <c r="H615" s="50">
        <f>G615/G615</f>
        <v>1</v>
      </c>
    </row>
    <row r="616" spans="1:8" ht="16.5" customHeight="1" x14ac:dyDescent="0.2"/>
    <row r="617" spans="1:8" ht="16.5" customHeight="1" x14ac:dyDescent="0.2"/>
    <row r="618" spans="1:8" ht="16.5" customHeight="1" thickBot="1" x14ac:dyDescent="0.25">
      <c r="A618" s="22" t="s">
        <v>39</v>
      </c>
    </row>
    <row r="619" spans="1:8" ht="16.5" customHeight="1" thickBot="1" x14ac:dyDescent="0.25">
      <c r="A619" s="23" t="s">
        <v>19</v>
      </c>
      <c r="B619" s="24" t="s">
        <v>20</v>
      </c>
      <c r="C619" s="133" t="s">
        <v>21</v>
      </c>
      <c r="D619" s="25" t="s">
        <v>22</v>
      </c>
      <c r="E619" s="26" t="s">
        <v>21</v>
      </c>
      <c r="F619" s="25" t="s">
        <v>23</v>
      </c>
      <c r="G619" s="26" t="s">
        <v>24</v>
      </c>
      <c r="H619" s="25" t="s">
        <v>21</v>
      </c>
    </row>
    <row r="620" spans="1:8" ht="16.5" customHeight="1" x14ac:dyDescent="0.2">
      <c r="A620" s="28" t="s">
        <v>25</v>
      </c>
      <c r="B620" s="29">
        <v>203330.42</v>
      </c>
      <c r="C620" s="134">
        <f>B620/B625</f>
        <v>0.59501239418821028</v>
      </c>
      <c r="D620" s="31">
        <v>8987.7800000000007</v>
      </c>
      <c r="E620" s="30">
        <f>D620/D625</f>
        <v>0.11454317145791615</v>
      </c>
      <c r="F620" s="57">
        <f>-331.3+-2713.17</f>
        <v>-3044.4700000000003</v>
      </c>
      <c r="G620" s="58">
        <f>B620+D620</f>
        <v>212318.2</v>
      </c>
      <c r="H620" s="34">
        <f>G620/G625</f>
        <v>0.50528974931137871</v>
      </c>
    </row>
    <row r="621" spans="1:8" ht="16.5" customHeight="1" x14ac:dyDescent="0.2">
      <c r="A621" s="35" t="s">
        <v>26</v>
      </c>
      <c r="B621" s="36">
        <v>76876.98</v>
      </c>
      <c r="C621" s="135">
        <f>B621/B625</f>
        <v>0.22496759672143082</v>
      </c>
      <c r="D621" s="29">
        <v>21561.62</v>
      </c>
      <c r="E621" s="37">
        <f>D621/D625</f>
        <v>0.27478824988711714</v>
      </c>
      <c r="F621" s="59">
        <f>-391.14+-4073.14</f>
        <v>-4464.28</v>
      </c>
      <c r="G621" s="58">
        <f>B621+D621</f>
        <v>98438.599999999991</v>
      </c>
      <c r="H621" s="39">
        <f>G621/G625</f>
        <v>0.23427108705972013</v>
      </c>
    </row>
    <row r="622" spans="1:8" ht="16.5" customHeight="1" x14ac:dyDescent="0.2">
      <c r="A622" s="35" t="s">
        <v>27</v>
      </c>
      <c r="B622" s="36">
        <v>29713.67</v>
      </c>
      <c r="C622" s="135">
        <f>B622/B625</f>
        <v>8.6952074986214045E-2</v>
      </c>
      <c r="D622" s="33">
        <v>17634.62</v>
      </c>
      <c r="E622" s="37">
        <f>D622/D625</f>
        <v>0.22474129342898883</v>
      </c>
      <c r="F622" s="60">
        <f>-157.5+-2566.71</f>
        <v>-2724.21</v>
      </c>
      <c r="G622" s="58">
        <f>B622+D622</f>
        <v>47348.289999999994</v>
      </c>
      <c r="H622" s="39">
        <f>G622/G625</f>
        <v>0.11268278265557287</v>
      </c>
    </row>
    <row r="623" spans="1:8" ht="16.5" customHeight="1" x14ac:dyDescent="0.2">
      <c r="A623" s="35" t="s">
        <v>28</v>
      </c>
      <c r="B623" s="36">
        <v>12797.16</v>
      </c>
      <c r="C623" s="135">
        <f>B623/B625</f>
        <v>3.7448743824999707E-2</v>
      </c>
      <c r="D623" s="33">
        <v>11157.47</v>
      </c>
      <c r="E623" s="37">
        <f>D623/D625</f>
        <v>0.14219440164829975</v>
      </c>
      <c r="F623" s="60">
        <v>-543.26</v>
      </c>
      <c r="G623" s="58">
        <f>B623+D623</f>
        <v>23954.629999999997</v>
      </c>
      <c r="H623" s="39">
        <f>G623/G625</f>
        <v>5.7008909210547319E-2</v>
      </c>
    </row>
    <row r="624" spans="1:8" ht="16.5" customHeight="1" thickBot="1" x14ac:dyDescent="0.25">
      <c r="A624" s="40" t="s">
        <v>29</v>
      </c>
      <c r="B624" s="41">
        <v>19006.45</v>
      </c>
      <c r="C624" s="136">
        <f>B624/B625</f>
        <v>5.5619190279145192E-2</v>
      </c>
      <c r="D624" s="42">
        <v>19124.82</v>
      </c>
      <c r="E624" s="43">
        <f>D624/D625</f>
        <v>0.24373288357767811</v>
      </c>
      <c r="F624" s="61">
        <f>-2345.37+-1131.38</f>
        <v>-3476.75</v>
      </c>
      <c r="G624" s="58">
        <f>B624+D624</f>
        <v>38131.270000000004</v>
      </c>
      <c r="H624" s="45">
        <f>G624/G625</f>
        <v>9.0747471762781029E-2</v>
      </c>
    </row>
    <row r="625" spans="1:8" ht="16.5" customHeight="1" thickBot="1" x14ac:dyDescent="0.25">
      <c r="A625" s="46" t="s">
        <v>24</v>
      </c>
      <c r="B625" s="47">
        <f>SUM(B620:B624)</f>
        <v>341724.68</v>
      </c>
      <c r="C625" s="137">
        <f>B625/B625</f>
        <v>1</v>
      </c>
      <c r="D625" s="47">
        <f>SUM(D620:D624)</f>
        <v>78466.31</v>
      </c>
      <c r="E625" s="48">
        <f>D625/D625</f>
        <v>1</v>
      </c>
      <c r="F625" s="62">
        <f>SUM(F620:F624)</f>
        <v>-14252.97</v>
      </c>
      <c r="G625" s="63">
        <f>SUM(G620:G624)</f>
        <v>420190.99</v>
      </c>
      <c r="H625" s="50">
        <f>G625/G625</f>
        <v>1</v>
      </c>
    </row>
    <row r="626" spans="1:8" ht="16.5" customHeight="1" x14ac:dyDescent="0.2"/>
    <row r="627" spans="1:8" ht="16.5" customHeight="1" x14ac:dyDescent="0.2"/>
    <row r="628" spans="1:8" ht="16.5" customHeight="1" thickBot="1" x14ac:dyDescent="0.25">
      <c r="A628" s="22" t="s">
        <v>40</v>
      </c>
    </row>
    <row r="629" spans="1:8" ht="16.5" customHeight="1" thickBot="1" x14ac:dyDescent="0.25">
      <c r="A629" s="23" t="s">
        <v>19</v>
      </c>
      <c r="B629" s="24" t="s">
        <v>20</v>
      </c>
      <c r="C629" s="133" t="s">
        <v>21</v>
      </c>
      <c r="D629" s="25" t="s">
        <v>22</v>
      </c>
      <c r="E629" s="26" t="s">
        <v>21</v>
      </c>
      <c r="F629" s="25" t="s">
        <v>23</v>
      </c>
      <c r="G629" s="26" t="s">
        <v>24</v>
      </c>
      <c r="H629" s="25" t="s">
        <v>21</v>
      </c>
    </row>
    <row r="630" spans="1:8" ht="16.5" customHeight="1" x14ac:dyDescent="0.2">
      <c r="A630" s="28" t="s">
        <v>25</v>
      </c>
      <c r="B630" s="29">
        <v>136434.59</v>
      </c>
      <c r="C630" s="134">
        <f>B630/B635</f>
        <v>0.59760104737634667</v>
      </c>
      <c r="D630" s="31">
        <v>15725.41</v>
      </c>
      <c r="E630" s="30">
        <f>D630/D635</f>
        <v>0.21648777464492458</v>
      </c>
      <c r="F630" s="57">
        <f>-407+-2713.17</f>
        <v>-3120.17</v>
      </c>
      <c r="G630" s="58">
        <f>B630+D630</f>
        <v>152160</v>
      </c>
      <c r="H630" s="34">
        <f>G630/G635</f>
        <v>0.50561138587928023</v>
      </c>
    </row>
    <row r="631" spans="1:8" ht="16.5" customHeight="1" x14ac:dyDescent="0.2">
      <c r="A631" s="35" t="s">
        <v>26</v>
      </c>
      <c r="B631" s="36">
        <v>51272.22</v>
      </c>
      <c r="C631" s="135">
        <f>B631/B635</f>
        <v>0.22457891633866803</v>
      </c>
      <c r="D631" s="29">
        <v>22891.41</v>
      </c>
      <c r="E631" s="37">
        <f>D631/D635</f>
        <v>0.31514029900553137</v>
      </c>
      <c r="F631" s="59">
        <f>-145-4073.14</f>
        <v>-4218.1399999999994</v>
      </c>
      <c r="G631" s="58">
        <f>B631+D631</f>
        <v>74163.63</v>
      </c>
      <c r="H631" s="39">
        <f>G631/G635</f>
        <v>0.2464378006449669</v>
      </c>
    </row>
    <row r="632" spans="1:8" ht="16.5" customHeight="1" x14ac:dyDescent="0.2">
      <c r="A632" s="35" t="s">
        <v>27</v>
      </c>
      <c r="B632" s="36">
        <v>17124.07</v>
      </c>
      <c r="C632" s="135">
        <f>B632/B635</f>
        <v>7.5005628465229221E-2</v>
      </c>
      <c r="D632" s="33">
        <v>13125.46</v>
      </c>
      <c r="E632" s="37">
        <f>D632/D635</f>
        <v>0.18069491520990369</v>
      </c>
      <c r="F632" s="60">
        <f>-26.91-2566.71</f>
        <v>-2593.62</v>
      </c>
      <c r="G632" s="58">
        <f>B632+D632</f>
        <v>30249.53</v>
      </c>
      <c r="H632" s="39">
        <f>G632/G635</f>
        <v>0.10051594890573648</v>
      </c>
    </row>
    <row r="633" spans="1:8" ht="16.5" customHeight="1" x14ac:dyDescent="0.2">
      <c r="A633" s="35" t="s">
        <v>28</v>
      </c>
      <c r="B633" s="36">
        <v>5463.63</v>
      </c>
      <c r="C633" s="135">
        <f>B633/B635</f>
        <v>2.3931401930235064E-2</v>
      </c>
      <c r="D633" s="33">
        <v>9001.82</v>
      </c>
      <c r="E633" s="37">
        <f>D633/D635</f>
        <v>0.1239257977727878</v>
      </c>
      <c r="F633" s="60">
        <f>-337.46-543.26</f>
        <v>-880.72</v>
      </c>
      <c r="G633" s="58">
        <f>B633+D633</f>
        <v>14465.45</v>
      </c>
      <c r="H633" s="39">
        <f>G633/G635</f>
        <v>4.806714131090585E-2</v>
      </c>
    </row>
    <row r="634" spans="1:8" ht="16.5" customHeight="1" thickBot="1" x14ac:dyDescent="0.25">
      <c r="A634" s="40" t="s">
        <v>29</v>
      </c>
      <c r="B634" s="41">
        <v>18009.29</v>
      </c>
      <c r="C634" s="136">
        <f>B634/B635</f>
        <v>7.8883005889520894E-2</v>
      </c>
      <c r="D634" s="42">
        <v>11894.69</v>
      </c>
      <c r="E634" s="43">
        <f>D634/D635</f>
        <v>0.16375121336685264</v>
      </c>
      <c r="F634" s="61">
        <f>-622.67-1131.38</f>
        <v>-1754.0500000000002</v>
      </c>
      <c r="G634" s="58">
        <f>B634+D634</f>
        <v>29903.980000000003</v>
      </c>
      <c r="H634" s="45">
        <f>G634/G635</f>
        <v>9.9367723259110668E-2</v>
      </c>
    </row>
    <row r="635" spans="1:8" ht="16.5" customHeight="1" thickBot="1" x14ac:dyDescent="0.25">
      <c r="A635" s="46" t="s">
        <v>24</v>
      </c>
      <c r="B635" s="47">
        <f>SUM(B630:B634)</f>
        <v>228303.80000000002</v>
      </c>
      <c r="C635" s="137">
        <f>B635/B635</f>
        <v>1</v>
      </c>
      <c r="D635" s="47">
        <f>SUM(D630:D634)</f>
        <v>72638.789999999994</v>
      </c>
      <c r="E635" s="48">
        <f>D635/D635</f>
        <v>1</v>
      </c>
      <c r="F635" s="62">
        <f>SUM(F630:F634)</f>
        <v>-12566.7</v>
      </c>
      <c r="G635" s="63">
        <f>SUM(G630:G634)</f>
        <v>300942.58999999997</v>
      </c>
      <c r="H635" s="50">
        <f>G635/G635</f>
        <v>1</v>
      </c>
    </row>
    <row r="636" spans="1:8" ht="16.5" customHeight="1" x14ac:dyDescent="0.2"/>
    <row r="637" spans="1:8" ht="16.5" customHeight="1" x14ac:dyDescent="0.2"/>
    <row r="638" spans="1:8" ht="16.5" customHeight="1" thickBot="1" x14ac:dyDescent="0.25">
      <c r="A638" s="22" t="s">
        <v>41</v>
      </c>
    </row>
    <row r="639" spans="1:8" ht="16.5" customHeight="1" thickBot="1" x14ac:dyDescent="0.25">
      <c r="A639" s="23" t="s">
        <v>19</v>
      </c>
      <c r="B639" s="24" t="s">
        <v>20</v>
      </c>
      <c r="C639" s="133" t="s">
        <v>21</v>
      </c>
      <c r="D639" s="25" t="s">
        <v>22</v>
      </c>
      <c r="E639" s="26" t="s">
        <v>21</v>
      </c>
      <c r="F639" s="25" t="s">
        <v>23</v>
      </c>
      <c r="G639" s="26" t="s">
        <v>24</v>
      </c>
      <c r="H639" s="25" t="s">
        <v>21</v>
      </c>
    </row>
    <row r="640" spans="1:8" ht="16.5" customHeight="1" x14ac:dyDescent="0.2">
      <c r="A640" s="28" t="s">
        <v>25</v>
      </c>
      <c r="B640" s="29">
        <v>207105.37</v>
      </c>
      <c r="C640" s="134">
        <f>B640/B645</f>
        <v>0.73850316599615928</v>
      </c>
      <c r="D640" s="31">
        <v>11686.79</v>
      </c>
      <c r="E640" s="30">
        <f>D640/D645</f>
        <v>0.21821821541458286</v>
      </c>
      <c r="F640" s="57">
        <f>-1579.1+-212</f>
        <v>-1791.1</v>
      </c>
      <c r="G640" s="58">
        <f>B640+D640</f>
        <v>218792.16</v>
      </c>
      <c r="H640" s="34">
        <f>G640/G645</f>
        <v>0.65507634996821817</v>
      </c>
    </row>
    <row r="641" spans="1:8" ht="16.5" customHeight="1" x14ac:dyDescent="0.2">
      <c r="A641" s="35" t="s">
        <v>26</v>
      </c>
      <c r="B641" s="36">
        <v>43707.34</v>
      </c>
      <c r="C641" s="135">
        <f>B641/B645</f>
        <v>0.15585307598383649</v>
      </c>
      <c r="D641" s="29">
        <v>17047.64</v>
      </c>
      <c r="E641" s="37">
        <f>D641/D645</f>
        <v>0.31831714079146273</v>
      </c>
      <c r="F641" s="59">
        <f>-2185.27-97.84</f>
        <v>-2283.11</v>
      </c>
      <c r="G641" s="58">
        <f>B641+D641</f>
        <v>60754.979999999996</v>
      </c>
      <c r="H641" s="39">
        <f>G641/G645</f>
        <v>0.18190391529930547</v>
      </c>
    </row>
    <row r="642" spans="1:8" ht="16.5" customHeight="1" x14ac:dyDescent="0.2">
      <c r="A642" s="35" t="s">
        <v>27</v>
      </c>
      <c r="B642" s="36">
        <v>7577.92</v>
      </c>
      <c r="C642" s="135">
        <f>B642/B645</f>
        <v>2.702159732345721E-2</v>
      </c>
      <c r="D642" s="33">
        <v>10459.69</v>
      </c>
      <c r="E642" s="37">
        <f>D642/D645</f>
        <v>0.19530554460119143</v>
      </c>
      <c r="F642" s="60">
        <f>-1023.23-288</f>
        <v>-1311.23</v>
      </c>
      <c r="G642" s="58">
        <f>B642+D642</f>
        <v>18037.61</v>
      </c>
      <c r="H642" s="39">
        <f>G642/G645</f>
        <v>5.4005644996375703E-2</v>
      </c>
    </row>
    <row r="643" spans="1:8" ht="16.5" customHeight="1" x14ac:dyDescent="0.2">
      <c r="A643" s="35" t="s">
        <v>28</v>
      </c>
      <c r="B643" s="36">
        <v>11660.48</v>
      </c>
      <c r="C643" s="135">
        <f>B643/B645</f>
        <v>4.1579324558483906E-2</v>
      </c>
      <c r="D643" s="33">
        <v>6385.32</v>
      </c>
      <c r="E643" s="37">
        <f>D643/D645</f>
        <v>0.11922804596052843</v>
      </c>
      <c r="F643" s="60">
        <f>-990.77-5</f>
        <v>-995.77</v>
      </c>
      <c r="G643" s="58">
        <f>B643+D643</f>
        <v>18045.8</v>
      </c>
      <c r="H643" s="39">
        <f>G643/G645</f>
        <v>5.4030166328887061E-2</v>
      </c>
    </row>
    <row r="644" spans="1:8" ht="16.5" customHeight="1" thickBot="1" x14ac:dyDescent="0.25">
      <c r="A644" s="40" t="s">
        <v>29</v>
      </c>
      <c r="B644" s="41">
        <v>10388.27</v>
      </c>
      <c r="C644" s="136">
        <f>B644/B645</f>
        <v>3.7042836138063064E-2</v>
      </c>
      <c r="D644" s="42">
        <v>7976.08</v>
      </c>
      <c r="E644" s="43">
        <f>D644/D645</f>
        <v>0.14893105323223449</v>
      </c>
      <c r="F644" s="61">
        <f>-1132.18-735.01</f>
        <v>-1867.19</v>
      </c>
      <c r="G644" s="58">
        <f>B644+D644</f>
        <v>18364.349999999999</v>
      </c>
      <c r="H644" s="45">
        <f>G644/G645</f>
        <v>5.4983923407213704E-2</v>
      </c>
    </row>
    <row r="645" spans="1:8" ht="16.5" customHeight="1" thickBot="1" x14ac:dyDescent="0.25">
      <c r="A645" s="46" t="s">
        <v>24</v>
      </c>
      <c r="B645" s="47">
        <f>SUM(B640:B644)</f>
        <v>280439.38</v>
      </c>
      <c r="C645" s="137">
        <f>B645/B645</f>
        <v>1</v>
      </c>
      <c r="D645" s="47">
        <f>SUM(D640:D644)</f>
        <v>53555.520000000004</v>
      </c>
      <c r="E645" s="48">
        <f>D645/D645</f>
        <v>1</v>
      </c>
      <c r="F645" s="62">
        <f>SUM(F640:F644)</f>
        <v>-8248.4000000000015</v>
      </c>
      <c r="G645" s="63">
        <f>SUM(G640:G644)</f>
        <v>333994.89999999997</v>
      </c>
      <c r="H645" s="50">
        <f>G645/G645</f>
        <v>1</v>
      </c>
    </row>
    <row r="646" spans="1:8" ht="16.5" customHeight="1" x14ac:dyDescent="0.2"/>
    <row r="647" spans="1:8" ht="16.5" customHeight="1" x14ac:dyDescent="0.2"/>
    <row r="648" spans="1:8" ht="16.5" customHeight="1" thickBot="1" x14ac:dyDescent="0.25">
      <c r="A648" s="22" t="s">
        <v>42</v>
      </c>
    </row>
    <row r="649" spans="1:8" ht="16.5" customHeight="1" thickBot="1" x14ac:dyDescent="0.25">
      <c r="A649" s="23" t="s">
        <v>19</v>
      </c>
      <c r="B649" s="24" t="s">
        <v>20</v>
      </c>
      <c r="C649" s="133" t="s">
        <v>21</v>
      </c>
      <c r="D649" s="25" t="s">
        <v>22</v>
      </c>
      <c r="E649" s="26" t="s">
        <v>21</v>
      </c>
      <c r="F649" s="25" t="s">
        <v>23</v>
      </c>
      <c r="G649" s="26" t="s">
        <v>24</v>
      </c>
      <c r="H649" s="25" t="s">
        <v>21</v>
      </c>
    </row>
    <row r="650" spans="1:8" ht="16.5" customHeight="1" x14ac:dyDescent="0.2">
      <c r="A650" s="28" t="s">
        <v>25</v>
      </c>
      <c r="B650" s="29">
        <v>129145.38</v>
      </c>
      <c r="C650" s="134">
        <f>B650/B655</f>
        <v>0.7331252957938561</v>
      </c>
      <c r="D650" s="31">
        <v>10331.81</v>
      </c>
      <c r="E650" s="30">
        <f>D650/D655</f>
        <v>0.23000892492002858</v>
      </c>
      <c r="F650" s="57">
        <v>-1018.31</v>
      </c>
      <c r="G650" s="58">
        <f>B650+D650</f>
        <v>139477.19</v>
      </c>
      <c r="H650" s="34">
        <f>G650/G655</f>
        <v>0.63090017536012877</v>
      </c>
    </row>
    <row r="651" spans="1:8" ht="16.5" customHeight="1" x14ac:dyDescent="0.2">
      <c r="A651" s="35" t="s">
        <v>26</v>
      </c>
      <c r="B651" s="36">
        <v>16409.91</v>
      </c>
      <c r="C651" s="135">
        <f>B651/B655</f>
        <v>9.3154862548707182E-2</v>
      </c>
      <c r="D651" s="29">
        <v>17780.61</v>
      </c>
      <c r="E651" s="37">
        <f>D651/D655</f>
        <v>0.39583567550335419</v>
      </c>
      <c r="F651" s="59">
        <v>-1172.1099999999999</v>
      </c>
      <c r="G651" s="58">
        <f>B651+D651</f>
        <v>34190.520000000004</v>
      </c>
      <c r="H651" s="39">
        <f>G651/G655</f>
        <v>0.15465471496560829</v>
      </c>
    </row>
    <row r="652" spans="1:8" ht="16.5" customHeight="1" x14ac:dyDescent="0.2">
      <c r="A652" s="35" t="s">
        <v>27</v>
      </c>
      <c r="B652" s="36">
        <v>17748.97</v>
      </c>
      <c r="C652" s="135">
        <f>B652/B655</f>
        <v>0.10075636372966867</v>
      </c>
      <c r="D652" s="33">
        <v>7242.84</v>
      </c>
      <c r="E652" s="37">
        <f>D652/D655</f>
        <v>0.16124162579139376</v>
      </c>
      <c r="F652" s="60">
        <v>-727.15</v>
      </c>
      <c r="G652" s="58">
        <f>B652+D652</f>
        <v>24991.81</v>
      </c>
      <c r="H652" s="39">
        <f>G652/G655</f>
        <v>0.1130459920476389</v>
      </c>
    </row>
    <row r="653" spans="1:8" ht="16.5" customHeight="1" x14ac:dyDescent="0.2">
      <c r="A653" s="35" t="s">
        <v>28</v>
      </c>
      <c r="B653" s="36">
        <v>7703.5</v>
      </c>
      <c r="C653" s="135">
        <f>B653/B655</f>
        <v>4.3730799476899368E-2</v>
      </c>
      <c r="D653" s="33">
        <v>4669.12</v>
      </c>
      <c r="E653" s="37">
        <f>D653/D655</f>
        <v>0.103944930416123</v>
      </c>
      <c r="F653" s="60">
        <v>-608.29</v>
      </c>
      <c r="G653" s="58">
        <f>B653+D653</f>
        <v>12372.619999999999</v>
      </c>
      <c r="H653" s="39">
        <f>G653/G655</f>
        <v>5.596533832997521E-2</v>
      </c>
    </row>
    <row r="654" spans="1:8" ht="16.5" customHeight="1" thickBot="1" x14ac:dyDescent="0.25">
      <c r="A654" s="40" t="s">
        <v>29</v>
      </c>
      <c r="B654" s="41">
        <v>5149.55</v>
      </c>
      <c r="C654" s="136">
        <f>B654/B655</f>
        <v>2.9232678450868715E-2</v>
      </c>
      <c r="D654" s="42">
        <v>4894.79</v>
      </c>
      <c r="E654" s="43">
        <f>D654/D655</f>
        <v>0.10896884336910055</v>
      </c>
      <c r="F654" s="61">
        <v>-1116.1400000000001</v>
      </c>
      <c r="G654" s="58">
        <f>B654+D654</f>
        <v>10044.34</v>
      </c>
      <c r="H654" s="45">
        <f>G654/G655</f>
        <v>4.5433779296648831E-2</v>
      </c>
    </row>
    <row r="655" spans="1:8" ht="16.5" customHeight="1" thickBot="1" x14ac:dyDescent="0.25">
      <c r="A655" s="46" t="s">
        <v>24</v>
      </c>
      <c r="B655" s="47">
        <f>SUM(B650:B654)</f>
        <v>176157.31</v>
      </c>
      <c r="C655" s="137">
        <f>B655/B655</f>
        <v>1</v>
      </c>
      <c r="D655" s="47">
        <f>SUM(D650:D654)</f>
        <v>44919.17</v>
      </c>
      <c r="E655" s="48">
        <f>D655/D655</f>
        <v>1</v>
      </c>
      <c r="F655" s="62">
        <f>SUM(F650:F654)</f>
        <v>-4642</v>
      </c>
      <c r="G655" s="63">
        <f>SUM(G650:G654)</f>
        <v>221076.48000000001</v>
      </c>
      <c r="H655" s="50">
        <f>G655/G655</f>
        <v>1</v>
      </c>
    </row>
    <row r="656" spans="1:8" ht="16.5" customHeight="1" x14ac:dyDescent="0.2"/>
    <row r="657" spans="1:8" ht="16.5" customHeight="1" x14ac:dyDescent="0.2"/>
    <row r="658" spans="1:8" ht="16.5" customHeight="1" thickBot="1" x14ac:dyDescent="0.25">
      <c r="A658" s="22" t="s">
        <v>43</v>
      </c>
    </row>
    <row r="659" spans="1:8" ht="16.5" customHeight="1" thickBot="1" x14ac:dyDescent="0.25">
      <c r="A659" s="23" t="s">
        <v>19</v>
      </c>
      <c r="B659" s="24" t="s">
        <v>20</v>
      </c>
      <c r="C659" s="133" t="s">
        <v>21</v>
      </c>
      <c r="D659" s="25" t="s">
        <v>22</v>
      </c>
      <c r="E659" s="26" t="s">
        <v>21</v>
      </c>
      <c r="F659" s="25" t="s">
        <v>23</v>
      </c>
      <c r="G659" s="26" t="s">
        <v>24</v>
      </c>
      <c r="H659" s="25" t="s">
        <v>21</v>
      </c>
    </row>
    <row r="660" spans="1:8" ht="16.5" customHeight="1" x14ac:dyDescent="0.2">
      <c r="A660" s="28" t="s">
        <v>25</v>
      </c>
      <c r="B660" s="29">
        <v>94713.21</v>
      </c>
      <c r="C660" s="134">
        <f>B660/B665</f>
        <v>0.58228053314211137</v>
      </c>
      <c r="D660" s="31">
        <v>6040.29</v>
      </c>
      <c r="E660" s="30">
        <f>D660/D665</f>
        <v>0.21551005641525509</v>
      </c>
      <c r="F660" s="57">
        <v>-438.5</v>
      </c>
      <c r="G660" s="58">
        <f>B660+D660</f>
        <v>100753.5</v>
      </c>
      <c r="H660" s="34">
        <f>G660/G665</f>
        <v>0.52837123882887627</v>
      </c>
    </row>
    <row r="661" spans="1:8" ht="16.5" customHeight="1" x14ac:dyDescent="0.2">
      <c r="A661" s="35" t="s">
        <v>26</v>
      </c>
      <c r="B661" s="36">
        <v>47783.85</v>
      </c>
      <c r="C661" s="135">
        <f>B661/B665</f>
        <v>0.29376689538431522</v>
      </c>
      <c r="D661" s="29">
        <v>8858.4699999999993</v>
      </c>
      <c r="E661" s="37">
        <f>D661/D665</f>
        <v>0.31605922388707242</v>
      </c>
      <c r="F661" s="59">
        <v>-629.39</v>
      </c>
      <c r="G661" s="58">
        <f>B661+D661</f>
        <v>56642.32</v>
      </c>
      <c r="H661" s="39">
        <f>G661/G665</f>
        <v>0.29704350507467864</v>
      </c>
    </row>
    <row r="662" spans="1:8" ht="16.5" customHeight="1" x14ac:dyDescent="0.2">
      <c r="A662" s="35" t="s">
        <v>27</v>
      </c>
      <c r="B662" s="36">
        <v>13272.69</v>
      </c>
      <c r="C662" s="135">
        <f>B662/B665</f>
        <v>8.1598216441296528E-2</v>
      </c>
      <c r="D662" s="33">
        <v>7162.1</v>
      </c>
      <c r="E662" s="37">
        <f>D662/D665</f>
        <v>0.25553484601760817</v>
      </c>
      <c r="F662" s="60">
        <v>-738.94</v>
      </c>
      <c r="G662" s="58">
        <f>B662+D662</f>
        <v>20434.79</v>
      </c>
      <c r="H662" s="39">
        <f>G662/G665</f>
        <v>0.10716407179411071</v>
      </c>
    </row>
    <row r="663" spans="1:8" ht="16.5" customHeight="1" x14ac:dyDescent="0.2">
      <c r="A663" s="35" t="s">
        <v>28</v>
      </c>
      <c r="B663" s="36">
        <v>4562.7700000000004</v>
      </c>
      <c r="C663" s="135">
        <f>B663/B665</f>
        <v>2.8051125584328013E-2</v>
      </c>
      <c r="D663" s="33">
        <v>2512.0100000000002</v>
      </c>
      <c r="E663" s="37">
        <f>D663/D665</f>
        <v>8.9625401564442264E-2</v>
      </c>
      <c r="F663" s="60">
        <v>-464.21</v>
      </c>
      <c r="G663" s="58">
        <f>B663+D663</f>
        <v>7074.7800000000007</v>
      </c>
      <c r="H663" s="39">
        <f>G663/G665</f>
        <v>3.7101542606874774E-2</v>
      </c>
    </row>
    <row r="664" spans="1:8" ht="16.5" customHeight="1" thickBot="1" x14ac:dyDescent="0.25">
      <c r="A664" s="40" t="s">
        <v>29</v>
      </c>
      <c r="B664" s="41">
        <v>2326.5500000000002</v>
      </c>
      <c r="C664" s="136">
        <f>B664/B665</f>
        <v>1.4303229447949017E-2</v>
      </c>
      <c r="D664" s="42">
        <f>2601+833.6+20.41</f>
        <v>3455.0099999999998</v>
      </c>
      <c r="E664" s="43">
        <f>D664/D665</f>
        <v>0.123270472115622</v>
      </c>
      <c r="F664" s="61">
        <f>-736.73-541.64-154</f>
        <v>-1432.37</v>
      </c>
      <c r="G664" s="58">
        <f>B664+D664</f>
        <v>5781.5599999999995</v>
      </c>
      <c r="H664" s="45">
        <f>G664/G665</f>
        <v>3.031964169545949E-2</v>
      </c>
    </row>
    <row r="665" spans="1:8" ht="16.5" customHeight="1" thickBot="1" x14ac:dyDescent="0.25">
      <c r="A665" s="46" t="s">
        <v>24</v>
      </c>
      <c r="B665" s="47">
        <f>SUM(B660:B664)</f>
        <v>162659.06999999998</v>
      </c>
      <c r="C665" s="137">
        <f>B665/B665</f>
        <v>1</v>
      </c>
      <c r="D665" s="47">
        <f>SUM(D660:D664)</f>
        <v>28027.88</v>
      </c>
      <c r="E665" s="48">
        <f>D665/D665</f>
        <v>1</v>
      </c>
      <c r="F665" s="62">
        <f>SUM(F660:F664)</f>
        <v>-3703.41</v>
      </c>
      <c r="G665" s="63">
        <f>SUM(G660:G664)</f>
        <v>190686.95</v>
      </c>
      <c r="H665" s="50">
        <f>G665/G665</f>
        <v>1</v>
      </c>
    </row>
    <row r="666" spans="1:8" ht="16.5" customHeight="1" x14ac:dyDescent="0.2"/>
    <row r="667" spans="1:8" ht="16.5" customHeight="1" x14ac:dyDescent="0.2"/>
    <row r="668" spans="1:8" ht="16.5" customHeight="1" thickBot="1" x14ac:dyDescent="0.25">
      <c r="A668" s="22" t="s">
        <v>44</v>
      </c>
    </row>
    <row r="669" spans="1:8" ht="16.5" customHeight="1" thickBot="1" x14ac:dyDescent="0.25">
      <c r="A669" s="23" t="s">
        <v>19</v>
      </c>
      <c r="B669" s="24" t="s">
        <v>20</v>
      </c>
      <c r="C669" s="133" t="s">
        <v>21</v>
      </c>
      <c r="D669" s="25" t="s">
        <v>22</v>
      </c>
      <c r="E669" s="26" t="s">
        <v>21</v>
      </c>
      <c r="F669" s="25" t="s">
        <v>23</v>
      </c>
      <c r="G669" s="26" t="s">
        <v>24</v>
      </c>
      <c r="H669" s="25" t="s">
        <v>21</v>
      </c>
    </row>
    <row r="670" spans="1:8" ht="16.5" customHeight="1" x14ac:dyDescent="0.2">
      <c r="A670" s="28" t="s">
        <v>25</v>
      </c>
      <c r="B670" s="29">
        <v>50186.55</v>
      </c>
      <c r="C670" s="134">
        <f>B670/B675</f>
        <v>0.46252322797603562</v>
      </c>
      <c r="D670" s="31">
        <v>1515.58</v>
      </c>
      <c r="E670" s="30">
        <f>D670/D675</f>
        <v>0.10213202402789327</v>
      </c>
      <c r="F670" s="57">
        <v>-808.13</v>
      </c>
      <c r="G670" s="58">
        <f>B670+D670</f>
        <v>51702.130000000005</v>
      </c>
      <c r="H670" s="34">
        <f>G670/G675</f>
        <v>0.41916534726904764</v>
      </c>
    </row>
    <row r="671" spans="1:8" ht="16.5" customHeight="1" x14ac:dyDescent="0.2">
      <c r="A671" s="35" t="s">
        <v>26</v>
      </c>
      <c r="B671" s="36">
        <v>39871.269999999997</v>
      </c>
      <c r="C671" s="135">
        <f>B671/B675</f>
        <v>0.36745678879907201</v>
      </c>
      <c r="D671" s="29">
        <v>5359.75</v>
      </c>
      <c r="E671" s="37">
        <f>D671/D675</f>
        <v>0.36118325379293797</v>
      </c>
      <c r="F671" s="59">
        <v>-496.4</v>
      </c>
      <c r="G671" s="58">
        <f>B671+D671</f>
        <v>45231.02</v>
      </c>
      <c r="H671" s="39">
        <f>G671/G675</f>
        <v>0.3667020334681228</v>
      </c>
    </row>
    <row r="672" spans="1:8" ht="16.5" customHeight="1" x14ac:dyDescent="0.2">
      <c r="A672" s="35" t="s">
        <v>27</v>
      </c>
      <c r="B672" s="36">
        <v>13749.55</v>
      </c>
      <c r="C672" s="135">
        <f>B672/B675</f>
        <v>0.12671694406604755</v>
      </c>
      <c r="D672" s="33">
        <v>3578.05</v>
      </c>
      <c r="E672" s="37">
        <f>D672/D675</f>
        <v>0.2411179143120149</v>
      </c>
      <c r="F672" s="60">
        <v>-506.65</v>
      </c>
      <c r="G672" s="58">
        <f>B672+D672</f>
        <v>17327.599999999999</v>
      </c>
      <c r="H672" s="39">
        <f>G672/G675</f>
        <v>0.14048027559675294</v>
      </c>
    </row>
    <row r="673" spans="1:8" ht="16.5" customHeight="1" x14ac:dyDescent="0.2">
      <c r="A673" s="35" t="s">
        <v>28</v>
      </c>
      <c r="B673" s="36">
        <v>4303.08</v>
      </c>
      <c r="C673" s="135">
        <f>B673/B675</f>
        <v>3.9657526804275631E-2</v>
      </c>
      <c r="D673" s="33">
        <v>2197.31</v>
      </c>
      <c r="E673" s="37">
        <f>D673/D675</f>
        <v>0.14807249879038398</v>
      </c>
      <c r="F673" s="60">
        <v>-396.05</v>
      </c>
      <c r="G673" s="58">
        <f>B673+D673</f>
        <v>6500.3899999999994</v>
      </c>
      <c r="H673" s="39">
        <f>G673/G675</f>
        <v>5.2700695923634945E-2</v>
      </c>
    </row>
    <row r="674" spans="1:8" ht="16.5" customHeight="1" thickBot="1" x14ac:dyDescent="0.25">
      <c r="A674" s="40" t="s">
        <v>29</v>
      </c>
      <c r="B674" s="41">
        <v>395.56</v>
      </c>
      <c r="C674" s="136">
        <f>B674/B675</f>
        <v>3.6455123545691154E-3</v>
      </c>
      <c r="D674" s="42">
        <f>2071.4+117.33</f>
        <v>2188.73</v>
      </c>
      <c r="E674" s="43">
        <f>D674/D675</f>
        <v>0.14749430907676986</v>
      </c>
      <c r="F674" s="61">
        <v>-1958.38</v>
      </c>
      <c r="G674" s="58">
        <f>B674+D674</f>
        <v>2584.29</v>
      </c>
      <c r="H674" s="45">
        <f>G674/G675</f>
        <v>2.0951647742441695E-2</v>
      </c>
    </row>
    <row r="675" spans="1:8" ht="16.5" customHeight="1" thickBot="1" x14ac:dyDescent="0.25">
      <c r="A675" s="46" t="s">
        <v>24</v>
      </c>
      <c r="B675" s="47">
        <f>SUM(B670:B674)</f>
        <v>108506.01000000001</v>
      </c>
      <c r="C675" s="137">
        <f>B675/B675</f>
        <v>1</v>
      </c>
      <c r="D675" s="47">
        <f>SUM(D670:D674)</f>
        <v>14839.42</v>
      </c>
      <c r="E675" s="48">
        <f>D675/D675</f>
        <v>1</v>
      </c>
      <c r="F675" s="62">
        <f>SUM(F670:F674)</f>
        <v>-4165.6100000000006</v>
      </c>
      <c r="G675" s="63">
        <f>SUM(G670:G674)</f>
        <v>123345.43</v>
      </c>
      <c r="H675" s="50">
        <f>G675/G675</f>
        <v>1</v>
      </c>
    </row>
    <row r="676" spans="1:8" ht="16.5" customHeight="1" x14ac:dyDescent="0.2"/>
    <row r="677" spans="1:8" ht="16.5" customHeight="1" x14ac:dyDescent="0.2"/>
    <row r="678" spans="1:8" ht="16.5" customHeight="1" thickBot="1" x14ac:dyDescent="0.25">
      <c r="A678" s="22" t="s">
        <v>45</v>
      </c>
    </row>
    <row r="679" spans="1:8" ht="16.5" customHeight="1" thickBot="1" x14ac:dyDescent="0.25">
      <c r="A679" s="23" t="s">
        <v>19</v>
      </c>
      <c r="B679" s="24" t="s">
        <v>20</v>
      </c>
      <c r="C679" s="133" t="s">
        <v>21</v>
      </c>
      <c r="D679" s="25" t="s">
        <v>22</v>
      </c>
      <c r="E679" s="26" t="s">
        <v>21</v>
      </c>
      <c r="F679" s="25" t="s">
        <v>23</v>
      </c>
      <c r="G679" s="26" t="s">
        <v>24</v>
      </c>
      <c r="H679" s="25" t="s">
        <v>21</v>
      </c>
    </row>
    <row r="680" spans="1:8" ht="16.5" customHeight="1" x14ac:dyDescent="0.2">
      <c r="A680" s="28" t="s">
        <v>25</v>
      </c>
      <c r="B680" s="29">
        <v>39550.9</v>
      </c>
      <c r="C680" s="134">
        <f>B680/B685</f>
        <v>0.52771987371837359</v>
      </c>
      <c r="D680" s="31">
        <v>2579.34</v>
      </c>
      <c r="E680" s="30">
        <f>D680/D685</f>
        <v>0.30445215868140846</v>
      </c>
      <c r="F680" s="57">
        <f>-566.28-398.28</f>
        <v>-964.56</v>
      </c>
      <c r="G680" s="58">
        <f>B680+D680</f>
        <v>42130.240000000005</v>
      </c>
      <c r="H680" s="34">
        <f>G680/G685</f>
        <v>0.50504466377139756</v>
      </c>
    </row>
    <row r="681" spans="1:8" ht="16.5" customHeight="1" x14ac:dyDescent="0.2">
      <c r="A681" s="35" t="s">
        <v>26</v>
      </c>
      <c r="B681" s="36">
        <v>25001.37</v>
      </c>
      <c r="C681" s="135">
        <f>B681/B685</f>
        <v>0.33358835877783649</v>
      </c>
      <c r="D681" s="29">
        <v>2872.41</v>
      </c>
      <c r="E681" s="37">
        <f>D681/D685</f>
        <v>0.33904464906451431</v>
      </c>
      <c r="F681" s="59">
        <f>-186.71-318.25</f>
        <v>-504.96000000000004</v>
      </c>
      <c r="G681" s="58">
        <f>B681+D681</f>
        <v>27873.78</v>
      </c>
      <c r="H681" s="39">
        <f>G681/G685</f>
        <v>0.33414250306045973</v>
      </c>
    </row>
    <row r="682" spans="1:8" ht="16.5" customHeight="1" x14ac:dyDescent="0.2">
      <c r="A682" s="35" t="s">
        <v>27</v>
      </c>
      <c r="B682" s="36">
        <v>7669.99</v>
      </c>
      <c r="C682" s="135">
        <f>B682/B685</f>
        <v>0.10233916685135327</v>
      </c>
      <c r="D682" s="33">
        <v>1373.43</v>
      </c>
      <c r="E682" s="37">
        <f>D682/D685</f>
        <v>0.16211268320493105</v>
      </c>
      <c r="F682" s="60">
        <f>-235-639.9</f>
        <v>-874.9</v>
      </c>
      <c r="G682" s="58">
        <f>B682+D682</f>
        <v>9043.42</v>
      </c>
      <c r="H682" s="39">
        <f>G682/G685</f>
        <v>0.1084098028694717</v>
      </c>
    </row>
    <row r="683" spans="1:8" ht="16.5" customHeight="1" x14ac:dyDescent="0.2">
      <c r="A683" s="35" t="s">
        <v>28</v>
      </c>
      <c r="B683" s="36">
        <v>2507.0500000000002</v>
      </c>
      <c r="C683" s="135">
        <f>B683/B685</f>
        <v>3.3451074676066755E-2</v>
      </c>
      <c r="D683" s="33">
        <v>1468.76</v>
      </c>
      <c r="E683" s="37">
        <f>D683/D685</f>
        <v>0.17336495095059412</v>
      </c>
      <c r="F683" s="60">
        <f>-115-2615.49</f>
        <v>-2730.49</v>
      </c>
      <c r="G683" s="58">
        <f>B683+D683</f>
        <v>3975.8100000000004</v>
      </c>
      <c r="H683" s="39">
        <f>G683/G685</f>
        <v>4.7660816189724058E-2</v>
      </c>
    </row>
    <row r="684" spans="1:8" ht="16.5" customHeight="1" thickBot="1" x14ac:dyDescent="0.25">
      <c r="A684" s="40" t="s">
        <v>29</v>
      </c>
      <c r="B684" s="41">
        <v>217.46</v>
      </c>
      <c r="C684" s="136">
        <f>B684/B685</f>
        <v>2.9015259763696282E-3</v>
      </c>
      <c r="D684" s="42">
        <v>178.13</v>
      </c>
      <c r="E684" s="43">
        <f>D684/D685</f>
        <v>2.1025558098552066E-2</v>
      </c>
      <c r="F684" s="61">
        <f>-35-557.25</f>
        <v>-592.25</v>
      </c>
      <c r="G684" s="58">
        <f>B684+D684</f>
        <v>395.59000000000003</v>
      </c>
      <c r="H684" s="45">
        <f>G684/G685</f>
        <v>4.7422141089470925E-3</v>
      </c>
    </row>
    <row r="685" spans="1:8" ht="16.5" customHeight="1" thickBot="1" x14ac:dyDescent="0.25">
      <c r="A685" s="46" t="s">
        <v>24</v>
      </c>
      <c r="B685" s="47">
        <f>SUM(B680:B684)</f>
        <v>74946.770000000019</v>
      </c>
      <c r="C685" s="137">
        <f>B685/B685</f>
        <v>1</v>
      </c>
      <c r="D685" s="47">
        <f>SUM(D680:D684)</f>
        <v>8472.07</v>
      </c>
      <c r="E685" s="48">
        <f>D685/D685</f>
        <v>1</v>
      </c>
      <c r="F685" s="62">
        <f>SUM(F680:F684)</f>
        <v>-5667.16</v>
      </c>
      <c r="G685" s="63">
        <f>SUM(G680:G684)</f>
        <v>83418.84</v>
      </c>
      <c r="H685" s="50">
        <f>G685/G685</f>
        <v>1</v>
      </c>
    </row>
    <row r="686" spans="1:8" ht="16.5" customHeight="1" x14ac:dyDescent="0.2"/>
    <row r="687" spans="1:8" ht="16.5" customHeight="1" x14ac:dyDescent="0.2"/>
    <row r="688" spans="1:8" ht="16.5" customHeight="1" thickBot="1" x14ac:dyDescent="0.25">
      <c r="A688" s="22" t="s">
        <v>46</v>
      </c>
    </row>
    <row r="689" spans="1:8" ht="16.5" customHeight="1" thickBot="1" x14ac:dyDescent="0.25">
      <c r="A689" s="23" t="s">
        <v>19</v>
      </c>
      <c r="B689" s="24" t="s">
        <v>20</v>
      </c>
      <c r="C689" s="133" t="s">
        <v>21</v>
      </c>
      <c r="D689" s="25" t="s">
        <v>22</v>
      </c>
      <c r="E689" s="26" t="s">
        <v>21</v>
      </c>
      <c r="F689" s="25" t="s">
        <v>23</v>
      </c>
      <c r="G689" s="26" t="s">
        <v>24</v>
      </c>
      <c r="H689" s="25" t="s">
        <v>21</v>
      </c>
    </row>
    <row r="690" spans="1:8" ht="16.5" customHeight="1" x14ac:dyDescent="0.2">
      <c r="A690" s="28" t="s">
        <v>25</v>
      </c>
      <c r="B690" s="29">
        <v>47321.120000000003</v>
      </c>
      <c r="C690" s="134">
        <f>B690/B695</f>
        <v>0.71938691199835081</v>
      </c>
      <c r="D690" s="31">
        <v>389.07</v>
      </c>
      <c r="E690" s="30">
        <f>D690/D695</f>
        <v>6.1119463125203242E-2</v>
      </c>
      <c r="F690" s="57">
        <v>-202.32</v>
      </c>
      <c r="G690" s="58">
        <f>B690+D690</f>
        <v>47710.19</v>
      </c>
      <c r="H690" s="34">
        <f>G690/G695</f>
        <v>0.66130495698138991</v>
      </c>
    </row>
    <row r="691" spans="1:8" ht="16.5" customHeight="1" x14ac:dyDescent="0.2">
      <c r="A691" s="35" t="s">
        <v>26</v>
      </c>
      <c r="B691" s="36">
        <v>13712.51</v>
      </c>
      <c r="C691" s="135">
        <f>B691/B695</f>
        <v>0.20846083576733823</v>
      </c>
      <c r="D691" s="29">
        <v>3832.19</v>
      </c>
      <c r="E691" s="37">
        <f>D691/D695</f>
        <v>0.60200322665271699</v>
      </c>
      <c r="F691" s="59">
        <v>-1291.97</v>
      </c>
      <c r="G691" s="58">
        <f>B691+D691</f>
        <v>17544.7</v>
      </c>
      <c r="H691" s="39">
        <f>G691/G695</f>
        <v>0.24318488521532597</v>
      </c>
    </row>
    <row r="692" spans="1:8" ht="16.5" customHeight="1" x14ac:dyDescent="0.2">
      <c r="A692" s="35" t="s">
        <v>27</v>
      </c>
      <c r="B692" s="36">
        <v>4071.14</v>
      </c>
      <c r="C692" s="135">
        <f>B692/B695</f>
        <v>6.1890437777317307E-2</v>
      </c>
      <c r="D692" s="33">
        <v>2086.31</v>
      </c>
      <c r="E692" s="37">
        <f>D692/D695</f>
        <v>0.32774088753371572</v>
      </c>
      <c r="F692" s="60">
        <v>-1366.52</v>
      </c>
      <c r="G692" s="58">
        <f>B692+D692</f>
        <v>6157.45</v>
      </c>
      <c r="H692" s="39">
        <f>G692/G695</f>
        <v>8.5347641821695935E-2</v>
      </c>
    </row>
    <row r="693" spans="1:8" ht="16.5" customHeight="1" x14ac:dyDescent="0.2">
      <c r="A693" s="35" t="s">
        <v>28</v>
      </c>
      <c r="B693" s="36">
        <v>675.02</v>
      </c>
      <c r="C693" s="135">
        <f>B693/B695</f>
        <v>1.0261814456993552E-2</v>
      </c>
      <c r="D693" s="33">
        <v>58.16</v>
      </c>
      <c r="E693" s="37">
        <f>D693/D695</f>
        <v>9.1364226883641E-3</v>
      </c>
      <c r="F693" s="60">
        <v>-179</v>
      </c>
      <c r="G693" s="58">
        <f>B693+D693</f>
        <v>733.18</v>
      </c>
      <c r="H693" s="39">
        <f>G693/G695</f>
        <v>1.0162515981588323E-2</v>
      </c>
    </row>
    <row r="694" spans="1:8" ht="16.5" customHeight="1" thickBot="1" x14ac:dyDescent="0.25">
      <c r="A694" s="40" t="s">
        <v>29</v>
      </c>
      <c r="B694" s="41">
        <v>0</v>
      </c>
      <c r="C694" s="136">
        <f>B694/B695</f>
        <v>0</v>
      </c>
      <c r="D694" s="42">
        <v>0</v>
      </c>
      <c r="E694" s="43">
        <f>D694/D695</f>
        <v>0</v>
      </c>
      <c r="F694" s="61"/>
      <c r="G694" s="58">
        <f>B694+D694</f>
        <v>0</v>
      </c>
      <c r="H694" s="64">
        <f>G694/G695</f>
        <v>0</v>
      </c>
    </row>
    <row r="695" spans="1:8" ht="16.5" customHeight="1" thickBot="1" x14ac:dyDescent="0.25">
      <c r="A695" s="46" t="s">
        <v>24</v>
      </c>
      <c r="B695" s="47">
        <f>SUM(B690:B694)</f>
        <v>65779.790000000008</v>
      </c>
      <c r="C695" s="137">
        <f>B695/B695</f>
        <v>1</v>
      </c>
      <c r="D695" s="47">
        <f>SUM(D690:D694)</f>
        <v>6365.73</v>
      </c>
      <c r="E695" s="48">
        <f>D695/D695</f>
        <v>1</v>
      </c>
      <c r="F695" s="62">
        <f>SUM(F690:F694)</f>
        <v>-3039.81</v>
      </c>
      <c r="G695" s="63">
        <f>SUM(G690:G694)</f>
        <v>72145.51999999999</v>
      </c>
      <c r="H695" s="50">
        <f>G695/G695</f>
        <v>1</v>
      </c>
    </row>
    <row r="696" spans="1:8" ht="16.5" customHeight="1" x14ac:dyDescent="0.2"/>
    <row r="697" spans="1:8" ht="16.5" customHeight="1" x14ac:dyDescent="0.2"/>
    <row r="698" spans="1:8" ht="16.5" customHeight="1" thickBot="1" x14ac:dyDescent="0.25">
      <c r="A698" s="22" t="s">
        <v>47</v>
      </c>
    </row>
    <row r="699" spans="1:8" ht="16.5" customHeight="1" thickBot="1" x14ac:dyDescent="0.25">
      <c r="A699" s="23" t="s">
        <v>19</v>
      </c>
      <c r="B699" s="24" t="s">
        <v>20</v>
      </c>
      <c r="C699" s="133" t="s">
        <v>21</v>
      </c>
      <c r="D699" s="25" t="s">
        <v>22</v>
      </c>
      <c r="E699" s="26" t="s">
        <v>21</v>
      </c>
      <c r="F699" s="25" t="s">
        <v>23</v>
      </c>
      <c r="G699" s="26" t="s">
        <v>24</v>
      </c>
      <c r="H699" s="25" t="s">
        <v>21</v>
      </c>
    </row>
    <row r="700" spans="1:8" ht="16.5" customHeight="1" x14ac:dyDescent="0.2">
      <c r="A700" s="28" t="s">
        <v>25</v>
      </c>
      <c r="B700" s="29">
        <v>31199.58</v>
      </c>
      <c r="C700" s="134">
        <f>B700/B705</f>
        <v>0.76342302940612961</v>
      </c>
      <c r="D700" s="31">
        <v>3007.14</v>
      </c>
      <c r="E700" s="30">
        <f>D700/D705</f>
        <v>0.60081156733191754</v>
      </c>
      <c r="F700" s="57">
        <v>-312.32</v>
      </c>
      <c r="G700" s="58">
        <f>B700+D700</f>
        <v>34206.720000000001</v>
      </c>
      <c r="H700" s="34">
        <f>G700/G705</f>
        <v>0.74568080580487861</v>
      </c>
    </row>
    <row r="701" spans="1:8" ht="16.5" customHeight="1" x14ac:dyDescent="0.2">
      <c r="A701" s="35" t="s">
        <v>26</v>
      </c>
      <c r="B701" s="36">
        <v>7139.78</v>
      </c>
      <c r="C701" s="135">
        <f>B701/B705</f>
        <v>0.1747033927025074</v>
      </c>
      <c r="D701" s="29">
        <v>1641.59</v>
      </c>
      <c r="E701" s="37">
        <f>D701/D705</f>
        <v>0.32798149099024404</v>
      </c>
      <c r="F701" s="59">
        <f>-5.6</f>
        <v>-5.6</v>
      </c>
      <c r="G701" s="58">
        <f>B701+D701</f>
        <v>8781.369999999999</v>
      </c>
      <c r="H701" s="39">
        <f>G701/G705</f>
        <v>0.19142727094766132</v>
      </c>
    </row>
    <row r="702" spans="1:8" ht="16.5" customHeight="1" x14ac:dyDescent="0.2">
      <c r="A702" s="35" t="s">
        <v>27</v>
      </c>
      <c r="B702" s="36">
        <v>2171.23</v>
      </c>
      <c r="C702" s="135">
        <f>B702/B705</f>
        <v>5.3127862110242216E-2</v>
      </c>
      <c r="D702" s="33">
        <v>356.4</v>
      </c>
      <c r="E702" s="37">
        <f>D702/D705</f>
        <v>7.1206941677838545E-2</v>
      </c>
      <c r="F702" s="60">
        <f>-87.71</f>
        <v>-87.71</v>
      </c>
      <c r="G702" s="58">
        <f>B702+D702</f>
        <v>2527.63</v>
      </c>
      <c r="H702" s="39">
        <f>G702/G705</f>
        <v>5.5100435679789971E-2</v>
      </c>
    </row>
    <row r="703" spans="1:8" ht="16.5" customHeight="1" x14ac:dyDescent="0.2">
      <c r="A703" s="35" t="s">
        <v>28</v>
      </c>
      <c r="B703" s="36">
        <v>357.42</v>
      </c>
      <c r="C703" s="135">
        <f>B703/B705</f>
        <v>8.7457157811207352E-3</v>
      </c>
      <c r="D703" s="33">
        <v>0</v>
      </c>
      <c r="E703" s="37">
        <f>D703/D705</f>
        <v>0</v>
      </c>
      <c r="F703" s="60"/>
      <c r="G703" s="58">
        <f>B703+D703</f>
        <v>357.42</v>
      </c>
      <c r="H703" s="39">
        <f>G703/G705</f>
        <v>7.7914875676703202E-3</v>
      </c>
    </row>
    <row r="704" spans="1:8" ht="16.5" customHeight="1" thickBot="1" x14ac:dyDescent="0.25">
      <c r="A704" s="40" t="s">
        <v>29</v>
      </c>
      <c r="B704" s="41">
        <v>0</v>
      </c>
      <c r="C704" s="136">
        <f>B704/B705</f>
        <v>0</v>
      </c>
      <c r="D704" s="42">
        <v>0</v>
      </c>
      <c r="E704" s="43">
        <f>D704/D705</f>
        <v>0</v>
      </c>
      <c r="F704" s="61"/>
      <c r="G704" s="58">
        <f>B704+D704</f>
        <v>0</v>
      </c>
      <c r="H704" s="64">
        <f>G704/G705</f>
        <v>0</v>
      </c>
    </row>
    <row r="705" spans="1:8" ht="16.5" customHeight="1" thickBot="1" x14ac:dyDescent="0.25">
      <c r="A705" s="46" t="s">
        <v>24</v>
      </c>
      <c r="B705" s="47">
        <f>SUM(B700:B704)</f>
        <v>40868.01</v>
      </c>
      <c r="C705" s="137">
        <f>B705/B705</f>
        <v>1</v>
      </c>
      <c r="D705" s="47">
        <f>SUM(D700:D704)</f>
        <v>5005.1299999999992</v>
      </c>
      <c r="E705" s="48">
        <f>D705/D705</f>
        <v>1</v>
      </c>
      <c r="F705" s="62">
        <f>SUM(F700:F704)</f>
        <v>-405.63</v>
      </c>
      <c r="G705" s="63">
        <f>SUM(G700:G704)</f>
        <v>45873.139999999992</v>
      </c>
      <c r="H705" s="50">
        <f>G705/G705</f>
        <v>1</v>
      </c>
    </row>
    <row r="706" spans="1:8" ht="16.5" customHeight="1" x14ac:dyDescent="0.2">
      <c r="A706" s="17"/>
      <c r="B706" s="51"/>
      <c r="C706" s="138"/>
      <c r="D706" s="51"/>
      <c r="E706" s="52"/>
      <c r="F706" s="53"/>
      <c r="G706" s="51"/>
      <c r="H706" s="52"/>
    </row>
    <row r="707" spans="1:8" ht="16.5" customHeight="1" x14ac:dyDescent="0.2"/>
    <row r="708" spans="1:8" ht="16.5" customHeight="1" thickBot="1" x14ac:dyDescent="0.25">
      <c r="A708" s="22" t="s">
        <v>48</v>
      </c>
    </row>
    <row r="709" spans="1:8" ht="16.5" customHeight="1" thickBot="1" x14ac:dyDescent="0.25">
      <c r="A709" s="23" t="s">
        <v>19</v>
      </c>
      <c r="B709" s="24" t="s">
        <v>20</v>
      </c>
      <c r="C709" s="133" t="s">
        <v>21</v>
      </c>
      <c r="D709" s="25" t="s">
        <v>22</v>
      </c>
      <c r="E709" s="26" t="s">
        <v>21</v>
      </c>
      <c r="F709" s="25" t="s">
        <v>23</v>
      </c>
      <c r="G709" s="26" t="s">
        <v>24</v>
      </c>
      <c r="H709" s="25" t="s">
        <v>21</v>
      </c>
    </row>
    <row r="710" spans="1:8" ht="16.5" customHeight="1" x14ac:dyDescent="0.2">
      <c r="A710" s="28" t="s">
        <v>25</v>
      </c>
      <c r="B710" s="29">
        <v>24901.79</v>
      </c>
      <c r="C710" s="134">
        <f>B710/B715</f>
        <v>0.90336797808855274</v>
      </c>
      <c r="D710" s="31">
        <v>1706</v>
      </c>
      <c r="E710" s="30">
        <f>D710/D715</f>
        <v>0.83308916886414686</v>
      </c>
      <c r="F710" s="33">
        <v>-20</v>
      </c>
      <c r="G710" s="58">
        <f>B710+D710</f>
        <v>26607.79</v>
      </c>
      <c r="H710" s="34">
        <f>G710/G715</f>
        <v>0.89850810277814364</v>
      </c>
    </row>
    <row r="711" spans="1:8" ht="16.5" customHeight="1" x14ac:dyDescent="0.2">
      <c r="A711" s="35" t="s">
        <v>26</v>
      </c>
      <c r="B711" s="36">
        <v>2271</v>
      </c>
      <c r="C711" s="135">
        <f>B711/B715</f>
        <v>8.2385590684007179E-2</v>
      </c>
      <c r="D711" s="29">
        <v>341.8</v>
      </c>
      <c r="E711" s="37">
        <f>D711/D715</f>
        <v>0.16691083113585312</v>
      </c>
      <c r="F711" s="60">
        <v>-85</v>
      </c>
      <c r="G711" s="58">
        <f>B711+D711</f>
        <v>2612.8000000000002</v>
      </c>
      <c r="H711" s="39">
        <f>G711/G715</f>
        <v>8.8230626103811466E-2</v>
      </c>
    </row>
    <row r="712" spans="1:8" ht="16.5" customHeight="1" x14ac:dyDescent="0.2">
      <c r="A712" s="35" t="s">
        <v>27</v>
      </c>
      <c r="B712" s="36">
        <v>392.71</v>
      </c>
      <c r="C712" s="135">
        <f>B712/B715</f>
        <v>1.4246431227440097E-2</v>
      </c>
      <c r="D712" s="33">
        <v>0</v>
      </c>
      <c r="E712" s="37">
        <f>D712/D715</f>
        <v>0</v>
      </c>
      <c r="F712" s="60"/>
      <c r="G712" s="58">
        <f>B712+D712</f>
        <v>392.71</v>
      </c>
      <c r="H712" s="39">
        <f>G712/G715</f>
        <v>1.3261271118044931E-2</v>
      </c>
    </row>
    <row r="713" spans="1:8" ht="16.5" customHeight="1" x14ac:dyDescent="0.2">
      <c r="A713" s="35" t="s">
        <v>28</v>
      </c>
      <c r="B713" s="36">
        <v>0</v>
      </c>
      <c r="C713" s="135">
        <f>B713/B715</f>
        <v>0</v>
      </c>
      <c r="D713" s="33">
        <v>0</v>
      </c>
      <c r="E713" s="37">
        <f>D713/D715</f>
        <v>0</v>
      </c>
      <c r="F713" s="60"/>
      <c r="G713" s="58">
        <f>B713+D713</f>
        <v>0</v>
      </c>
      <c r="H713" s="39">
        <f>G713/G715</f>
        <v>0</v>
      </c>
    </row>
    <row r="714" spans="1:8" ht="16.5" customHeight="1" thickBot="1" x14ac:dyDescent="0.25">
      <c r="A714" s="40" t="s">
        <v>29</v>
      </c>
      <c r="B714" s="41">
        <v>0</v>
      </c>
      <c r="C714" s="136">
        <f>B714/B715</f>
        <v>0</v>
      </c>
      <c r="D714" s="42">
        <v>0</v>
      </c>
      <c r="E714" s="43">
        <f>D714/D715</f>
        <v>0</v>
      </c>
      <c r="F714" s="61"/>
      <c r="G714" s="58">
        <f>B714+D714</f>
        <v>0</v>
      </c>
      <c r="H714" s="64">
        <f>G714/G715</f>
        <v>0</v>
      </c>
    </row>
    <row r="715" spans="1:8" ht="13.5" thickBot="1" x14ac:dyDescent="0.25">
      <c r="A715" s="46" t="s">
        <v>24</v>
      </c>
      <c r="B715" s="47">
        <f>SUM(B710:B714)</f>
        <v>27565.5</v>
      </c>
      <c r="C715" s="137">
        <f>B715/B715</f>
        <v>1</v>
      </c>
      <c r="D715" s="47">
        <f>SUM(D710:D714)</f>
        <v>2047.8</v>
      </c>
      <c r="E715" s="48">
        <f>D715/D715</f>
        <v>1</v>
      </c>
      <c r="F715" s="62">
        <f>SUM(F710:F714)</f>
        <v>-105</v>
      </c>
      <c r="G715" s="63">
        <f>SUM(G710:G714)</f>
        <v>29613.3</v>
      </c>
      <c r="H715" s="50">
        <f>G715/G715</f>
        <v>1</v>
      </c>
    </row>
  </sheetData>
  <sheetProtection selectLockedCells="1" selectUnlockedCells="1"/>
  <pageMargins left="0.75" right="0.75" top="1.611111111" bottom="1" header="0.25" footer="0.5"/>
  <pageSetup paperSize="9" scale="74" firstPageNumber="0" orientation="portrait" horizontalDpi="300" verticalDpi="300" r:id="rId1"/>
  <headerFooter alignWithMargins="0">
    <oddHeader>&amp;CKPI SAMPLE</oddHeader>
    <oddFooter>&amp;L&amp;A&amp;CPage &amp;P&amp;R&amp;F</oddFooter>
  </headerFooter>
  <ignoredErrors>
    <ignoredError sqref="C24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BP20"/>
  <sheetViews>
    <sheetView showGridLines="0" zoomScale="80" zoomScaleNormal="80" workbookViewId="0">
      <selection sqref="A1:A2"/>
    </sheetView>
  </sheetViews>
  <sheetFormatPr defaultRowHeight="12.75" x14ac:dyDescent="0.2"/>
  <cols>
    <col min="1" max="1" width="12.7109375" style="289" bestFit="1" customWidth="1"/>
    <col min="2" max="2" width="6.5703125" style="289" bestFit="1" customWidth="1"/>
    <col min="3" max="3" width="14.42578125" style="289" bestFit="1" customWidth="1"/>
    <col min="4" max="4" width="7.7109375" style="289" bestFit="1" customWidth="1"/>
    <col min="5" max="5" width="5.5703125" style="289" bestFit="1" customWidth="1"/>
    <col min="6" max="6" width="12.7109375" style="289" bestFit="1" customWidth="1"/>
    <col min="7" max="7" width="7.7109375" style="289" bestFit="1" customWidth="1"/>
    <col min="8" max="8" width="5.5703125" style="289" bestFit="1" customWidth="1"/>
    <col min="9" max="9" width="11.5703125" style="289" bestFit="1" customWidth="1"/>
    <col min="10" max="10" width="7.7109375" style="289" bestFit="1" customWidth="1"/>
    <col min="11" max="11" width="4.5703125" style="289" bestFit="1" customWidth="1"/>
    <col min="12" max="12" width="12.7109375" style="289" bestFit="1" customWidth="1"/>
    <col min="13" max="13" width="7.7109375" style="289" bestFit="1" customWidth="1"/>
    <col min="14" max="14" width="4.5703125" style="289" bestFit="1" customWidth="1"/>
    <col min="15" max="15" width="12.7109375" style="289" bestFit="1" customWidth="1"/>
    <col min="16" max="16" width="7.7109375" style="289" bestFit="1" customWidth="1"/>
    <col min="17" max="17" width="4.5703125" style="289" customWidth="1"/>
    <col min="18" max="18" width="12.7109375" style="289" bestFit="1" customWidth="1"/>
    <col min="19" max="19" width="7.7109375" style="289" bestFit="1" customWidth="1"/>
    <col min="20" max="20" width="5.5703125" style="289" bestFit="1" customWidth="1"/>
    <col min="21" max="21" width="12.7109375" style="289" bestFit="1" customWidth="1"/>
    <col min="22" max="22" width="7.7109375" style="289" bestFit="1" customWidth="1"/>
    <col min="23" max="23" width="9.5703125" style="289" bestFit="1" customWidth="1"/>
    <col min="24" max="24" width="14.42578125" style="289" bestFit="1" customWidth="1"/>
    <col min="25" max="67" width="9.140625" style="289"/>
    <col min="68" max="68" width="13" style="289" bestFit="1" customWidth="1"/>
    <col min="69" max="16384" width="9.140625" style="289"/>
  </cols>
  <sheetData>
    <row r="1" spans="1:68" ht="20.25" customHeight="1" thickBot="1" x14ac:dyDescent="0.25">
      <c r="A1" s="863" t="s">
        <v>125</v>
      </c>
      <c r="B1" s="865" t="s">
        <v>118</v>
      </c>
      <c r="C1" s="866"/>
      <c r="D1" s="867"/>
      <c r="E1" s="868" t="s">
        <v>119</v>
      </c>
      <c r="F1" s="869"/>
      <c r="G1" s="870"/>
      <c r="H1" s="871" t="s">
        <v>121</v>
      </c>
      <c r="I1" s="872"/>
      <c r="J1" s="873"/>
      <c r="K1" s="874" t="s">
        <v>122</v>
      </c>
      <c r="L1" s="875"/>
      <c r="M1" s="876"/>
      <c r="N1" s="877" t="s">
        <v>120</v>
      </c>
      <c r="O1" s="878"/>
      <c r="P1" s="879"/>
      <c r="Q1" s="880" t="s">
        <v>146</v>
      </c>
      <c r="R1" s="881"/>
      <c r="S1" s="882"/>
      <c r="T1" s="883" t="s">
        <v>147</v>
      </c>
      <c r="U1" s="884"/>
      <c r="V1" s="885"/>
      <c r="W1" s="863" t="s">
        <v>123</v>
      </c>
      <c r="X1" s="863" t="s">
        <v>124</v>
      </c>
    </row>
    <row r="2" spans="1:68" ht="30.75" customHeight="1" thickBot="1" x14ac:dyDescent="0.25">
      <c r="A2" s="864"/>
      <c r="B2" s="290" t="s">
        <v>126</v>
      </c>
      <c r="C2" s="291" t="s">
        <v>127</v>
      </c>
      <c r="D2" s="292" t="s">
        <v>21</v>
      </c>
      <c r="E2" s="293" t="s">
        <v>126</v>
      </c>
      <c r="F2" s="294" t="s">
        <v>127</v>
      </c>
      <c r="G2" s="295" t="s">
        <v>21</v>
      </c>
      <c r="H2" s="296" t="s">
        <v>126</v>
      </c>
      <c r="I2" s="297" t="s">
        <v>127</v>
      </c>
      <c r="J2" s="298" t="s">
        <v>21</v>
      </c>
      <c r="K2" s="299" t="s">
        <v>126</v>
      </c>
      <c r="L2" s="300" t="s">
        <v>127</v>
      </c>
      <c r="M2" s="301" t="s">
        <v>21</v>
      </c>
      <c r="N2" s="302" t="s">
        <v>126</v>
      </c>
      <c r="O2" s="303" t="s">
        <v>127</v>
      </c>
      <c r="P2" s="304" t="s">
        <v>21</v>
      </c>
      <c r="Q2" s="305" t="s">
        <v>126</v>
      </c>
      <c r="R2" s="306" t="s">
        <v>127</v>
      </c>
      <c r="S2" s="307" t="s">
        <v>21</v>
      </c>
      <c r="T2" s="308" t="s">
        <v>126</v>
      </c>
      <c r="U2" s="309" t="s">
        <v>127</v>
      </c>
      <c r="V2" s="310" t="s">
        <v>21</v>
      </c>
      <c r="W2" s="864"/>
      <c r="X2" s="864"/>
    </row>
    <row r="3" spans="1:68" ht="15" x14ac:dyDescent="0.2">
      <c r="A3" s="311" t="s">
        <v>128</v>
      </c>
      <c r="B3" s="254">
        <v>1396</v>
      </c>
      <c r="C3" s="255">
        <v>184716.36999999991</v>
      </c>
      <c r="D3" s="256">
        <v>0.68516259986185168</v>
      </c>
      <c r="E3" s="263">
        <v>239</v>
      </c>
      <c r="F3" s="264">
        <v>31902.000000000004</v>
      </c>
      <c r="G3" s="265">
        <v>0.11833308147400691</v>
      </c>
      <c r="H3" s="184">
        <v>157</v>
      </c>
      <c r="I3" s="185">
        <v>18821.91</v>
      </c>
      <c r="J3" s="186">
        <v>6.9815516567187791E-2</v>
      </c>
      <c r="K3" s="187">
        <v>51</v>
      </c>
      <c r="L3" s="188">
        <v>7240.11</v>
      </c>
      <c r="M3" s="189">
        <v>2.6855511457299606E-2</v>
      </c>
      <c r="N3" s="190">
        <v>60</v>
      </c>
      <c r="O3" s="191">
        <v>6408.0499999999993</v>
      </c>
      <c r="P3" s="205">
        <v>2.3769177566908339E-2</v>
      </c>
      <c r="Q3" s="272">
        <v>34</v>
      </c>
      <c r="R3" s="273">
        <v>4119.71</v>
      </c>
      <c r="S3" s="274">
        <v>1.5281110246356998E-2</v>
      </c>
      <c r="T3" s="281">
        <v>132</v>
      </c>
      <c r="U3" s="282">
        <v>16386.79</v>
      </c>
      <c r="V3" s="285">
        <v>6.0783002826388363E-2</v>
      </c>
      <c r="W3" s="207">
        <v>2069</v>
      </c>
      <c r="X3" s="208">
        <v>269594.94</v>
      </c>
    </row>
    <row r="4" spans="1:68" ht="15" x14ac:dyDescent="0.2">
      <c r="A4" s="312" t="s">
        <v>129</v>
      </c>
      <c r="B4" s="257">
        <v>3847</v>
      </c>
      <c r="C4" s="258">
        <v>836995.92999999551</v>
      </c>
      <c r="D4" s="259">
        <v>0.83972577773632739</v>
      </c>
      <c r="E4" s="266">
        <v>353</v>
      </c>
      <c r="F4" s="267">
        <v>65863.570000000051</v>
      </c>
      <c r="G4" s="268">
        <v>6.6078382893380833E-2</v>
      </c>
      <c r="H4" s="192">
        <v>143</v>
      </c>
      <c r="I4" s="193">
        <v>23361.750000000004</v>
      </c>
      <c r="J4" s="194">
        <v>2.3437943943206217E-2</v>
      </c>
      <c r="K4" s="195">
        <v>77</v>
      </c>
      <c r="L4" s="196">
        <v>13670.65</v>
      </c>
      <c r="M4" s="197">
        <v>1.371523658832031E-2</v>
      </c>
      <c r="N4" s="198">
        <v>56</v>
      </c>
      <c r="O4" s="199">
        <v>8925.590000000002</v>
      </c>
      <c r="P4" s="206">
        <v>8.9547006572727635E-3</v>
      </c>
      <c r="Q4" s="275">
        <v>36</v>
      </c>
      <c r="R4" s="276">
        <v>5557.3899999999994</v>
      </c>
      <c r="S4" s="277">
        <v>5.5755153312801809E-3</v>
      </c>
      <c r="T4" s="283">
        <v>566</v>
      </c>
      <c r="U4" s="284">
        <v>42374.240000000173</v>
      </c>
      <c r="V4" s="285">
        <v>4.25124428502133E-2</v>
      </c>
      <c r="W4" s="200">
        <v>5078</v>
      </c>
      <c r="X4" s="201">
        <v>996749.11999999476</v>
      </c>
      <c r="BP4" s="289">
        <v>5974908.2901375443</v>
      </c>
    </row>
    <row r="5" spans="1:68" ht="15" x14ac:dyDescent="0.2">
      <c r="A5" s="312" t="s">
        <v>130</v>
      </c>
      <c r="B5" s="257">
        <v>916</v>
      </c>
      <c r="C5" s="258">
        <v>136177.36000000002</v>
      </c>
      <c r="D5" s="259">
        <v>0.65506426493586767</v>
      </c>
      <c r="E5" s="266">
        <v>158</v>
      </c>
      <c r="F5" s="267">
        <v>23444.500000000004</v>
      </c>
      <c r="G5" s="268">
        <v>0.11277685335718765</v>
      </c>
      <c r="H5" s="192">
        <v>87</v>
      </c>
      <c r="I5" s="193">
        <v>11695.58</v>
      </c>
      <c r="J5" s="194">
        <v>5.6260133958380712E-2</v>
      </c>
      <c r="K5" s="195">
        <v>60</v>
      </c>
      <c r="L5" s="196">
        <v>7487.5</v>
      </c>
      <c r="M5" s="197">
        <v>3.6017688136319496E-2</v>
      </c>
      <c r="N5" s="198">
        <v>44</v>
      </c>
      <c r="O5" s="199">
        <v>5354.2</v>
      </c>
      <c r="P5" s="206">
        <v>2.5755713631984218E-2</v>
      </c>
      <c r="Q5" s="275">
        <v>32</v>
      </c>
      <c r="R5" s="276">
        <v>3401.2</v>
      </c>
      <c r="S5" s="277">
        <v>1.6361049868347226E-2</v>
      </c>
      <c r="T5" s="283">
        <v>177</v>
      </c>
      <c r="U5" s="284">
        <v>20323.63</v>
      </c>
      <c r="V5" s="285">
        <v>9.7764296111912785E-2</v>
      </c>
      <c r="W5" s="200">
        <v>1474</v>
      </c>
      <c r="X5" s="201">
        <v>207883.97000000006</v>
      </c>
      <c r="BP5" s="289">
        <v>377275.78999996191</v>
      </c>
    </row>
    <row r="6" spans="1:68" ht="15" x14ac:dyDescent="0.2">
      <c r="A6" s="312" t="s">
        <v>114</v>
      </c>
      <c r="B6" s="257">
        <v>1189</v>
      </c>
      <c r="C6" s="258">
        <v>259178.93000000023</v>
      </c>
      <c r="D6" s="259">
        <v>0.50898194432219712</v>
      </c>
      <c r="E6" s="266">
        <v>556</v>
      </c>
      <c r="F6" s="267">
        <v>104335.55000000005</v>
      </c>
      <c r="G6" s="268">
        <v>0.20489671402272475</v>
      </c>
      <c r="H6" s="192">
        <v>254</v>
      </c>
      <c r="I6" s="193">
        <v>47727.559999999983</v>
      </c>
      <c r="J6" s="194">
        <v>9.3728553808576545E-2</v>
      </c>
      <c r="K6" s="195">
        <v>140</v>
      </c>
      <c r="L6" s="196">
        <v>23326.019999999997</v>
      </c>
      <c r="M6" s="197">
        <v>4.5808210616883269E-2</v>
      </c>
      <c r="N6" s="198">
        <v>97</v>
      </c>
      <c r="O6" s="199">
        <v>19307.150000000009</v>
      </c>
      <c r="P6" s="206">
        <v>3.7915855067077807E-2</v>
      </c>
      <c r="Q6" s="275">
        <v>63</v>
      </c>
      <c r="R6" s="276">
        <v>12134.869999999999</v>
      </c>
      <c r="S6" s="277">
        <v>2.3830755558320635E-2</v>
      </c>
      <c r="T6" s="283">
        <v>372</v>
      </c>
      <c r="U6" s="284">
        <v>43200.379999999983</v>
      </c>
      <c r="V6" s="285">
        <v>8.4837966604220993E-2</v>
      </c>
      <c r="W6" s="200">
        <v>2671</v>
      </c>
      <c r="X6" s="201">
        <v>509210.45999999967</v>
      </c>
      <c r="BP6" s="289">
        <v>1723859.1027311464</v>
      </c>
    </row>
    <row r="7" spans="1:68" ht="15" x14ac:dyDescent="0.2">
      <c r="A7" s="312" t="s">
        <v>115</v>
      </c>
      <c r="B7" s="257">
        <v>31</v>
      </c>
      <c r="C7" s="258">
        <v>5952.71</v>
      </c>
      <c r="D7" s="259">
        <v>0.18167559879874021</v>
      </c>
      <c r="E7" s="266">
        <v>49</v>
      </c>
      <c r="F7" s="267">
        <v>4097.9400000000005</v>
      </c>
      <c r="G7" s="268">
        <v>0.12506836438215696</v>
      </c>
      <c r="H7" s="192">
        <v>30</v>
      </c>
      <c r="I7" s="193">
        <v>5093.1499999999996</v>
      </c>
      <c r="J7" s="194">
        <v>0.15544198793856975</v>
      </c>
      <c r="K7" s="195">
        <v>21</v>
      </c>
      <c r="L7" s="196">
        <v>3551.3999999999996</v>
      </c>
      <c r="M7" s="197">
        <v>0.1083880655321435</v>
      </c>
      <c r="N7" s="198">
        <v>20</v>
      </c>
      <c r="O7" s="199">
        <v>2013.8100000000002</v>
      </c>
      <c r="P7" s="206">
        <v>6.1461105549722908E-2</v>
      </c>
      <c r="Q7" s="275">
        <v>23</v>
      </c>
      <c r="R7" s="276">
        <v>3551.13</v>
      </c>
      <c r="S7" s="277">
        <v>0.10837982518250854</v>
      </c>
      <c r="T7" s="283">
        <v>57</v>
      </c>
      <c r="U7" s="284">
        <v>8505.4599999999991</v>
      </c>
      <c r="V7" s="285">
        <v>0.2595850526161585</v>
      </c>
      <c r="W7" s="200">
        <v>231</v>
      </c>
      <c r="X7" s="201">
        <v>32765.599999999988</v>
      </c>
      <c r="BP7" s="289">
        <v>272134.43085956585</v>
      </c>
    </row>
    <row r="8" spans="1:68" ht="15" x14ac:dyDescent="0.2">
      <c r="A8" s="312" t="s">
        <v>116</v>
      </c>
      <c r="B8" s="257">
        <v>803</v>
      </c>
      <c r="C8" s="258">
        <v>216914.55000000013</v>
      </c>
      <c r="D8" s="259">
        <v>0.46498089494008071</v>
      </c>
      <c r="E8" s="266">
        <v>227</v>
      </c>
      <c r="F8" s="267">
        <v>52404.68</v>
      </c>
      <c r="G8" s="268">
        <v>0.11233536434254196</v>
      </c>
      <c r="H8" s="192">
        <v>168</v>
      </c>
      <c r="I8" s="193">
        <v>39248.990000000005</v>
      </c>
      <c r="J8" s="194">
        <v>8.4134653464667405E-2</v>
      </c>
      <c r="K8" s="195">
        <v>163</v>
      </c>
      <c r="L8" s="196">
        <v>37355.64</v>
      </c>
      <c r="M8" s="197">
        <v>8.0076043392476287E-2</v>
      </c>
      <c r="N8" s="198">
        <v>213</v>
      </c>
      <c r="O8" s="199">
        <v>49614.879999999997</v>
      </c>
      <c r="P8" s="206">
        <v>0.10635511220775506</v>
      </c>
      <c r="Q8" s="275">
        <v>134</v>
      </c>
      <c r="R8" s="276">
        <v>29607.66</v>
      </c>
      <c r="S8" s="277">
        <v>6.3467371109414389E-2</v>
      </c>
      <c r="T8" s="283">
        <v>345</v>
      </c>
      <c r="U8" s="284">
        <v>41355.670000000006</v>
      </c>
      <c r="V8" s="285">
        <v>8.8650560543064721E-2</v>
      </c>
      <c r="W8" s="200">
        <v>2053</v>
      </c>
      <c r="X8" s="201">
        <v>466502.06999999989</v>
      </c>
    </row>
    <row r="9" spans="1:68" ht="15" x14ac:dyDescent="0.2">
      <c r="A9" s="312" t="s">
        <v>303</v>
      </c>
      <c r="B9" s="257">
        <v>3194</v>
      </c>
      <c r="C9" s="258">
        <v>105928.48999999989</v>
      </c>
      <c r="D9" s="259">
        <v>0.33765660869353953</v>
      </c>
      <c r="E9" s="266">
        <v>1000</v>
      </c>
      <c r="F9" s="267">
        <v>67234.320000000007</v>
      </c>
      <c r="G9" s="268">
        <v>0.21431545450158163</v>
      </c>
      <c r="H9" s="192">
        <v>350</v>
      </c>
      <c r="I9" s="193">
        <v>36365.25</v>
      </c>
      <c r="J9" s="194">
        <v>0.11591751179774913</v>
      </c>
      <c r="K9" s="195">
        <v>286</v>
      </c>
      <c r="L9" s="196">
        <v>25174.36</v>
      </c>
      <c r="M9" s="197">
        <v>8.0245541342374493E-2</v>
      </c>
      <c r="N9" s="198">
        <v>194</v>
      </c>
      <c r="O9" s="199">
        <v>14783.56</v>
      </c>
      <c r="P9" s="206">
        <v>4.712392987021214E-2</v>
      </c>
      <c r="Q9" s="275">
        <v>210</v>
      </c>
      <c r="R9" s="276">
        <v>13838.539999999999</v>
      </c>
      <c r="S9" s="277">
        <v>4.4111593450165285E-2</v>
      </c>
      <c r="T9" s="283">
        <v>374</v>
      </c>
      <c r="U9" s="284">
        <v>50392.1</v>
      </c>
      <c r="V9" s="285">
        <v>0.16062936034437694</v>
      </c>
      <c r="W9" s="200">
        <v>5608</v>
      </c>
      <c r="X9" s="201">
        <v>313716.62000000017</v>
      </c>
      <c r="BP9" s="289">
        <v>2105614.8973325035</v>
      </c>
    </row>
    <row r="10" spans="1:68" ht="15" x14ac:dyDescent="0.2">
      <c r="A10" s="312" t="s">
        <v>332</v>
      </c>
      <c r="B10" s="257">
        <v>3251</v>
      </c>
      <c r="C10" s="258">
        <v>646618.51000000013</v>
      </c>
      <c r="D10" s="259">
        <v>0.68839861273658587</v>
      </c>
      <c r="E10" s="266">
        <v>1414</v>
      </c>
      <c r="F10" s="267">
        <v>250348.39000000016</v>
      </c>
      <c r="G10" s="268">
        <v>0.26652420509403274</v>
      </c>
      <c r="H10" s="192">
        <v>87</v>
      </c>
      <c r="I10" s="193">
        <v>15085.589999999998</v>
      </c>
      <c r="J10" s="194">
        <v>1.6060318515028142E-2</v>
      </c>
      <c r="K10" s="195">
        <v>40</v>
      </c>
      <c r="L10" s="196">
        <v>6618.33</v>
      </c>
      <c r="M10" s="197">
        <v>7.0459615989541154E-3</v>
      </c>
      <c r="N10" s="198">
        <v>23</v>
      </c>
      <c r="O10" s="199">
        <v>2735.79</v>
      </c>
      <c r="P10" s="206">
        <v>2.9125581956177282E-3</v>
      </c>
      <c r="Q10" s="275">
        <v>25</v>
      </c>
      <c r="R10" s="276">
        <v>3708.49</v>
      </c>
      <c r="S10" s="277">
        <v>3.9481074727469537E-3</v>
      </c>
      <c r="T10" s="283">
        <v>119</v>
      </c>
      <c r="U10" s="284">
        <v>14193.170000000002</v>
      </c>
      <c r="V10" s="285">
        <v>1.5110236387038361E-2</v>
      </c>
      <c r="W10" s="200">
        <v>4959</v>
      </c>
      <c r="X10" s="201">
        <v>939308.26999999664</v>
      </c>
      <c r="BP10" s="289">
        <v>101118.09985459411</v>
      </c>
    </row>
    <row r="11" spans="1:68" ht="15.75" thickBot="1" x14ac:dyDescent="0.25">
      <c r="A11" s="313" t="s">
        <v>333</v>
      </c>
      <c r="B11" s="260">
        <v>759</v>
      </c>
      <c r="C11" s="261">
        <v>290560.02000000031</v>
      </c>
      <c r="D11" s="262">
        <v>0.37572936894048103</v>
      </c>
      <c r="E11" s="269">
        <v>590</v>
      </c>
      <c r="F11" s="270">
        <v>205838.71000000025</v>
      </c>
      <c r="G11" s="271">
        <v>0.26617443312339634</v>
      </c>
      <c r="H11" s="242">
        <v>233</v>
      </c>
      <c r="I11" s="243">
        <v>81039.12000000001</v>
      </c>
      <c r="J11" s="244">
        <v>0.10479341726742684</v>
      </c>
      <c r="K11" s="245">
        <v>126</v>
      </c>
      <c r="L11" s="246">
        <v>43217.150000000016</v>
      </c>
      <c r="M11" s="247">
        <v>5.5885019889887463E-2</v>
      </c>
      <c r="N11" s="248">
        <v>98</v>
      </c>
      <c r="O11" s="249">
        <v>27806.739999999994</v>
      </c>
      <c r="P11" s="250">
        <v>3.595748951453135E-2</v>
      </c>
      <c r="Q11" s="278">
        <v>73</v>
      </c>
      <c r="R11" s="279">
        <v>25246.800000000003</v>
      </c>
      <c r="S11" s="280">
        <v>3.264717641390074E-2</v>
      </c>
      <c r="T11" s="286">
        <v>383</v>
      </c>
      <c r="U11" s="287">
        <v>99614.079999999958</v>
      </c>
      <c r="V11" s="288">
        <v>0.1288130948503739</v>
      </c>
      <c r="W11" s="200">
        <v>2262</v>
      </c>
      <c r="X11" s="201">
        <v>773322.62000000232</v>
      </c>
      <c r="BP11" s="289">
        <v>28878</v>
      </c>
    </row>
    <row r="12" spans="1:68" ht="15.75" thickBot="1" x14ac:dyDescent="0.25">
      <c r="A12" s="314" t="s">
        <v>214</v>
      </c>
      <c r="B12" s="202">
        <v>15386</v>
      </c>
      <c r="C12" s="203">
        <v>2683042.8699999643</v>
      </c>
      <c r="D12" s="204">
        <v>0.59503458294386813</v>
      </c>
      <c r="E12" s="202">
        <v>4586</v>
      </c>
      <c r="F12" s="203">
        <v>805469.6600000012</v>
      </c>
      <c r="G12" s="204">
        <v>0.1786338595521757</v>
      </c>
      <c r="H12" s="202">
        <v>1509</v>
      </c>
      <c r="I12" s="202">
        <v>278438.90000000026</v>
      </c>
      <c r="J12" s="203">
        <v>6.1751072481690081E-2</v>
      </c>
      <c r="K12" s="202">
        <v>964</v>
      </c>
      <c r="L12" s="203">
        <v>167641.16000000015</v>
      </c>
      <c r="M12" s="204">
        <v>3.7178790111850761E-2</v>
      </c>
      <c r="N12" s="202">
        <v>805</v>
      </c>
      <c r="O12" s="203">
        <v>136949.7699999999</v>
      </c>
      <c r="P12" s="204">
        <v>3.0372175632143252E-2</v>
      </c>
      <c r="Q12" s="202">
        <v>630</v>
      </c>
      <c r="R12" s="203">
        <v>101165.78999999994</v>
      </c>
      <c r="S12" s="204">
        <v>2.2436146784653395E-2</v>
      </c>
      <c r="T12" s="202">
        <v>2525</v>
      </c>
      <c r="U12" s="203">
        <v>336345.52000000043</v>
      </c>
      <c r="V12" s="204">
        <v>7.45933724936126E-2</v>
      </c>
      <c r="W12" s="251">
        <v>26405</v>
      </c>
      <c r="X12" s="252">
        <v>4509053.6699999934</v>
      </c>
      <c r="Y12" s="347"/>
    </row>
    <row r="19" ht="15.75" customHeight="1" x14ac:dyDescent="0.2"/>
    <row r="20" ht="15" customHeight="1" x14ac:dyDescent="0.2"/>
  </sheetData>
  <mergeCells count="10">
    <mergeCell ref="W1:W2"/>
    <mergeCell ref="X1:X2"/>
    <mergeCell ref="A1:A2"/>
    <mergeCell ref="B1:D1"/>
    <mergeCell ref="E1:G1"/>
    <mergeCell ref="H1:J1"/>
    <mergeCell ref="K1:M1"/>
    <mergeCell ref="N1:P1"/>
    <mergeCell ref="Q1:S1"/>
    <mergeCell ref="T1:V1"/>
  </mergeCells>
  <pageMargins left="0.7" right="0.7" top="0.75" bottom="0.75" header="0.3" footer="0.3"/>
  <pageSetup paperSize="513"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249977111117893"/>
  </sheetPr>
  <dimension ref="A1:BP24"/>
  <sheetViews>
    <sheetView showGridLines="0" zoomScale="85" zoomScaleNormal="85" workbookViewId="0"/>
  </sheetViews>
  <sheetFormatPr defaultRowHeight="12.75" x14ac:dyDescent="0.2"/>
  <cols>
    <col min="1" max="1" width="3.7109375" bestFit="1" customWidth="1"/>
    <col min="2" max="2" width="10.85546875" bestFit="1" customWidth="1"/>
    <col min="3" max="3" width="120.42578125" bestFit="1" customWidth="1"/>
  </cols>
  <sheetData>
    <row r="1" spans="1:68" ht="15" x14ac:dyDescent="0.2">
      <c r="A1" s="213" t="s">
        <v>113</v>
      </c>
      <c r="B1" s="337" t="s">
        <v>212</v>
      </c>
      <c r="C1" s="214" t="s">
        <v>331</v>
      </c>
    </row>
    <row r="2" spans="1:68" ht="15" x14ac:dyDescent="0.2">
      <c r="A2" s="215">
        <v>1</v>
      </c>
      <c r="B2" s="338" t="s">
        <v>334</v>
      </c>
      <c r="C2" s="183"/>
    </row>
    <row r="3" spans="1:68" ht="15" x14ac:dyDescent="0.2">
      <c r="A3" s="822">
        <v>2</v>
      </c>
      <c r="B3" s="823" t="s">
        <v>334</v>
      </c>
      <c r="C3" s="183"/>
      <c r="BP3">
        <v>5974908.2901375443</v>
      </c>
    </row>
    <row r="4" spans="1:68" ht="15" x14ac:dyDescent="0.2">
      <c r="A4" s="822">
        <v>3</v>
      </c>
      <c r="B4" s="338" t="s">
        <v>335</v>
      </c>
      <c r="C4" s="183"/>
      <c r="BP4">
        <v>377275.78999996191</v>
      </c>
    </row>
    <row r="5" spans="1:68" ht="15" x14ac:dyDescent="0.2">
      <c r="A5" s="831">
        <v>4</v>
      </c>
      <c r="B5" s="830" t="s">
        <v>336</v>
      </c>
      <c r="C5" s="183"/>
      <c r="BP5">
        <v>1723859.1027311464</v>
      </c>
    </row>
    <row r="6" spans="1:68" ht="15" x14ac:dyDescent="0.2">
      <c r="A6" s="319"/>
      <c r="B6" s="319"/>
      <c r="C6" s="320"/>
      <c r="BP6">
        <v>1886936.4053251962</v>
      </c>
    </row>
    <row r="7" spans="1:68" ht="15" x14ac:dyDescent="0.2">
      <c r="A7" s="319"/>
      <c r="B7" s="319"/>
      <c r="C7" s="320"/>
      <c r="BP7">
        <v>272134.43085956585</v>
      </c>
    </row>
    <row r="8" spans="1:68" ht="15" x14ac:dyDescent="0.2">
      <c r="A8" s="319"/>
      <c r="B8" s="319"/>
      <c r="C8" s="320"/>
    </row>
    <row r="9" spans="1:68" ht="15" x14ac:dyDescent="0.2">
      <c r="A9" s="319"/>
      <c r="B9" s="319"/>
      <c r="C9" s="320"/>
      <c r="BP9">
        <v>2105614.8973325035</v>
      </c>
    </row>
    <row r="10" spans="1:68" ht="15" x14ac:dyDescent="0.2">
      <c r="A10" s="319"/>
      <c r="B10" s="319"/>
      <c r="C10" s="320"/>
      <c r="BP10">
        <v>101118.09985459411</v>
      </c>
    </row>
    <row r="11" spans="1:68" ht="15" x14ac:dyDescent="0.2">
      <c r="A11" s="319"/>
      <c r="B11" s="319"/>
      <c r="C11" s="320"/>
      <c r="BP11">
        <v>28878</v>
      </c>
    </row>
    <row r="12" spans="1:68" ht="15" x14ac:dyDescent="0.2">
      <c r="A12" s="319"/>
      <c r="B12" s="319"/>
      <c r="C12" s="320"/>
    </row>
    <row r="13" spans="1:68" ht="15" x14ac:dyDescent="0.2">
      <c r="A13" s="319"/>
      <c r="B13" s="319"/>
      <c r="C13" s="320"/>
    </row>
    <row r="14" spans="1:68" ht="15" x14ac:dyDescent="0.2">
      <c r="A14" s="319"/>
      <c r="B14" s="319"/>
      <c r="C14" s="320"/>
    </row>
    <row r="15" spans="1:68" ht="15" x14ac:dyDescent="0.2">
      <c r="A15" s="319"/>
      <c r="B15" s="319"/>
      <c r="C15" s="320"/>
    </row>
    <row r="16" spans="1:68" ht="15" x14ac:dyDescent="0.2">
      <c r="A16" s="319"/>
      <c r="B16" s="319"/>
      <c r="C16" s="320"/>
    </row>
    <row r="17" spans="1:3" ht="15" x14ac:dyDescent="0.2">
      <c r="A17" s="319"/>
      <c r="B17" s="319"/>
      <c r="C17" s="320"/>
    </row>
    <row r="18" spans="1:3" ht="15" x14ac:dyDescent="0.2">
      <c r="A18" s="319"/>
      <c r="B18" s="319"/>
      <c r="C18" s="320"/>
    </row>
    <row r="19" spans="1:3" ht="15" x14ac:dyDescent="0.2">
      <c r="A19" s="319"/>
      <c r="B19" s="319"/>
      <c r="C19" s="320"/>
    </row>
    <row r="20" spans="1:3" ht="15" x14ac:dyDescent="0.2">
      <c r="A20" s="319"/>
      <c r="B20" s="319"/>
      <c r="C20" s="320"/>
    </row>
    <row r="21" spans="1:3" ht="15" x14ac:dyDescent="0.2">
      <c r="A21" s="319"/>
      <c r="B21" s="319"/>
      <c r="C21" s="320"/>
    </row>
    <row r="22" spans="1:3" ht="15" x14ac:dyDescent="0.2">
      <c r="A22" s="319"/>
      <c r="B22" s="319"/>
      <c r="C22" s="320"/>
    </row>
    <row r="23" spans="1:3" ht="15" x14ac:dyDescent="0.2">
      <c r="A23" s="319"/>
      <c r="B23" s="319"/>
      <c r="C23" s="320"/>
    </row>
    <row r="24" spans="1:3" ht="15" x14ac:dyDescent="0.2">
      <c r="A24" s="319"/>
      <c r="B24" s="319"/>
      <c r="C24" s="320"/>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BX334"/>
  <sheetViews>
    <sheetView showGridLines="0" topLeftCell="A3" workbookViewId="0">
      <pane xSplit="1" topLeftCell="BL1" activePane="topRight" state="frozen"/>
      <selection pane="topRight" activeCell="A3" sqref="A3"/>
    </sheetView>
  </sheetViews>
  <sheetFormatPr defaultRowHeight="12" x14ac:dyDescent="0.2"/>
  <cols>
    <col min="1" max="1" width="23.28515625" style="467" customWidth="1"/>
    <col min="2" max="2" width="7.140625" style="467" customWidth="1"/>
    <col min="3" max="5" width="8.7109375" style="467" hidden="1" customWidth="1"/>
    <col min="6" max="11" width="9.5703125" style="467" hidden="1" customWidth="1"/>
    <col min="12" max="14" width="9.5703125" style="489" hidden="1" customWidth="1"/>
    <col min="15" max="15" width="9.5703125" style="468" hidden="1" customWidth="1"/>
    <col min="16" max="16" width="12.140625" style="468" hidden="1" customWidth="1"/>
    <col min="17" max="17" width="9.5703125" style="468" hidden="1" customWidth="1"/>
    <col min="18" max="19" width="11.42578125" style="468" hidden="1" customWidth="1"/>
    <col min="20" max="22" width="12.28515625" style="468" hidden="1" customWidth="1"/>
    <col min="23" max="26" width="11.7109375" style="467" hidden="1" customWidth="1"/>
    <col min="27" max="27" width="10.85546875" style="467" hidden="1" customWidth="1"/>
    <col min="28" max="28" width="12.140625" style="467" hidden="1" customWidth="1"/>
    <col min="29" max="29" width="10.85546875" style="469" hidden="1" customWidth="1"/>
    <col min="30" max="32" width="11.42578125" style="467" hidden="1" customWidth="1"/>
    <col min="33" max="34" width="11.42578125" style="469" hidden="1" customWidth="1"/>
    <col min="35" max="39" width="11.42578125" style="467" hidden="1" customWidth="1"/>
    <col min="40" max="47" width="12.7109375" style="467" hidden="1" customWidth="1"/>
    <col min="48" max="51" width="12.7109375" style="467" customWidth="1"/>
    <col min="52" max="53" width="12.7109375" style="468" customWidth="1"/>
    <col min="54" max="55" width="12.7109375" style="469" customWidth="1"/>
    <col min="56" max="69" width="12.7109375" style="467" customWidth="1"/>
    <col min="70" max="70" width="12.7109375" style="469" customWidth="1"/>
    <col min="71" max="71" width="12.7109375" style="467" customWidth="1"/>
    <col min="72" max="72" width="11.85546875" style="467" customWidth="1"/>
    <col min="73" max="73" width="15.42578125" style="467" bestFit="1" customWidth="1"/>
    <col min="74" max="74" width="15.140625" style="467" customWidth="1"/>
    <col min="75" max="75" width="9.140625" style="467"/>
    <col min="76" max="76" width="10.140625" style="467" bestFit="1" customWidth="1"/>
    <col min="77" max="16384" width="9.140625" style="467"/>
  </cols>
  <sheetData>
    <row r="2" spans="1:76" ht="12.75" thickBot="1" x14ac:dyDescent="0.25"/>
    <row r="3" spans="1:76" ht="12.75" thickBot="1" x14ac:dyDescent="0.25">
      <c r="A3" s="559" t="s">
        <v>0</v>
      </c>
      <c r="B3" s="560" t="s">
        <v>239</v>
      </c>
      <c r="C3" s="561">
        <v>40766</v>
      </c>
      <c r="D3" s="561">
        <v>40797</v>
      </c>
      <c r="E3" s="561">
        <v>40827</v>
      </c>
      <c r="F3" s="561">
        <v>40858</v>
      </c>
      <c r="G3" s="561">
        <v>40878</v>
      </c>
      <c r="H3" s="561">
        <v>40909</v>
      </c>
      <c r="I3" s="561">
        <v>40941</v>
      </c>
      <c r="J3" s="561">
        <v>40969</v>
      </c>
      <c r="K3" s="561">
        <v>41000</v>
      </c>
      <c r="L3" s="562">
        <v>41041</v>
      </c>
      <c r="M3" s="562">
        <v>41072</v>
      </c>
      <c r="N3" s="562">
        <v>41102</v>
      </c>
      <c r="O3" s="563">
        <v>41133</v>
      </c>
      <c r="P3" s="563">
        <v>41164</v>
      </c>
      <c r="Q3" s="562">
        <v>41183</v>
      </c>
      <c r="R3" s="562">
        <v>41214</v>
      </c>
      <c r="S3" s="562">
        <v>41244</v>
      </c>
      <c r="T3" s="562">
        <v>41275</v>
      </c>
      <c r="U3" s="562">
        <v>41306</v>
      </c>
      <c r="V3" s="562">
        <v>41334</v>
      </c>
      <c r="W3" s="562">
        <v>41365</v>
      </c>
      <c r="X3" s="562">
        <v>41395</v>
      </c>
      <c r="Y3" s="562">
        <v>41426</v>
      </c>
      <c r="Z3" s="564">
        <v>41456</v>
      </c>
      <c r="AA3" s="564">
        <v>41487</v>
      </c>
      <c r="AB3" s="564">
        <v>41518</v>
      </c>
      <c r="AC3" s="564">
        <v>41548</v>
      </c>
      <c r="AD3" s="564">
        <v>41579</v>
      </c>
      <c r="AE3" s="564">
        <v>41609</v>
      </c>
      <c r="AF3" s="564">
        <v>41640</v>
      </c>
      <c r="AG3" s="564">
        <v>41671</v>
      </c>
      <c r="AH3" s="564">
        <v>41699</v>
      </c>
      <c r="AI3" s="562">
        <v>41730</v>
      </c>
      <c r="AJ3" s="564">
        <v>41760</v>
      </c>
      <c r="AK3" s="564">
        <v>41791</v>
      </c>
      <c r="AL3" s="563">
        <v>41821</v>
      </c>
      <c r="AM3" s="563">
        <v>41852</v>
      </c>
      <c r="AN3" s="563">
        <v>41883</v>
      </c>
      <c r="AO3" s="563">
        <v>41913</v>
      </c>
      <c r="AP3" s="563">
        <v>41944</v>
      </c>
      <c r="AQ3" s="563">
        <v>41974</v>
      </c>
      <c r="AR3" s="563">
        <v>42006</v>
      </c>
      <c r="AS3" s="563">
        <v>42037</v>
      </c>
      <c r="AT3" s="563">
        <v>42065</v>
      </c>
      <c r="AU3" s="565">
        <v>42096</v>
      </c>
      <c r="AV3" s="565">
        <v>42126</v>
      </c>
      <c r="AW3" s="564">
        <v>42157</v>
      </c>
      <c r="AX3" s="564">
        <v>42187</v>
      </c>
      <c r="AY3" s="564">
        <v>42218</v>
      </c>
      <c r="AZ3" s="565">
        <v>42249</v>
      </c>
      <c r="BA3" s="565">
        <v>42279</v>
      </c>
      <c r="BB3" s="564">
        <v>42309</v>
      </c>
      <c r="BC3" s="564">
        <v>42339</v>
      </c>
      <c r="BD3" s="563">
        <v>42370</v>
      </c>
      <c r="BE3" s="654">
        <v>42401</v>
      </c>
      <c r="BF3" s="666">
        <v>42445</v>
      </c>
      <c r="BG3" s="720">
        <v>42476</v>
      </c>
      <c r="BH3" s="720">
        <v>42506</v>
      </c>
      <c r="BI3" s="666">
        <v>42537</v>
      </c>
      <c r="BJ3" s="666">
        <v>42567</v>
      </c>
      <c r="BK3" s="666">
        <v>42598</v>
      </c>
      <c r="BL3" s="666">
        <v>42629</v>
      </c>
      <c r="BM3" s="666">
        <v>42659</v>
      </c>
      <c r="BN3" s="666">
        <v>42690</v>
      </c>
      <c r="BO3" s="666">
        <v>42720</v>
      </c>
      <c r="BP3" s="666">
        <v>42736</v>
      </c>
      <c r="BQ3" s="666">
        <v>42767</v>
      </c>
      <c r="BR3" s="666">
        <v>42795</v>
      </c>
      <c r="BS3" s="717">
        <v>42826</v>
      </c>
      <c r="BT3" s="666" t="s">
        <v>240</v>
      </c>
    </row>
    <row r="4" spans="1:76" x14ac:dyDescent="0.2">
      <c r="A4" s="588" t="s">
        <v>1</v>
      </c>
      <c r="B4" s="596"/>
      <c r="C4" s="597">
        <v>22212.79</v>
      </c>
      <c r="D4" s="597">
        <v>50143</v>
      </c>
      <c r="E4" s="597">
        <v>58347.25</v>
      </c>
      <c r="F4" s="597">
        <v>107408.75</v>
      </c>
      <c r="G4" s="597">
        <v>143428.54999999999</v>
      </c>
      <c r="H4" s="597">
        <v>183256</v>
      </c>
      <c r="I4" s="597">
        <v>226592.75</v>
      </c>
      <c r="J4" s="597">
        <v>356049.8</v>
      </c>
      <c r="K4" s="597">
        <v>402706.25</v>
      </c>
      <c r="L4" s="598">
        <v>478235.25</v>
      </c>
      <c r="M4" s="598">
        <v>507906.08</v>
      </c>
      <c r="N4" s="598">
        <v>495980.88</v>
      </c>
      <c r="O4" s="599">
        <v>565651</v>
      </c>
      <c r="P4" s="599">
        <v>753744.15</v>
      </c>
      <c r="Q4" s="598">
        <v>931508.44</v>
      </c>
      <c r="R4" s="598">
        <v>1047050.57</v>
      </c>
      <c r="S4" s="599">
        <v>1647689.13</v>
      </c>
      <c r="T4" s="598">
        <v>1939833.64</v>
      </c>
      <c r="U4" s="598">
        <v>1448386.41</v>
      </c>
      <c r="V4" s="600">
        <v>1582268.85</v>
      </c>
      <c r="W4" s="600">
        <v>1541036.93</v>
      </c>
      <c r="X4" s="600">
        <v>1626712.96</v>
      </c>
      <c r="Y4" s="600">
        <v>1411802.84</v>
      </c>
      <c r="Z4" s="597">
        <v>1566515.7</v>
      </c>
      <c r="AA4" s="597">
        <v>1593860.01</v>
      </c>
      <c r="AB4" s="597">
        <v>1863245.08</v>
      </c>
      <c r="AC4" s="597">
        <v>2130632.11999992</v>
      </c>
      <c r="AD4" s="597">
        <v>2266963.9500000002</v>
      </c>
      <c r="AE4" s="597">
        <v>3002373.4899998498</v>
      </c>
      <c r="AF4" s="597">
        <v>3029970.86</v>
      </c>
      <c r="AG4" s="597">
        <v>2258996.2999999998</v>
      </c>
      <c r="AH4" s="597">
        <v>2565839.5699999998</v>
      </c>
      <c r="AI4" s="600">
        <v>2590348.4399998598</v>
      </c>
      <c r="AJ4" s="597">
        <v>2763800.14</v>
      </c>
      <c r="AK4" s="597">
        <v>2639738.1</v>
      </c>
      <c r="AL4" s="600">
        <v>2191227.84</v>
      </c>
      <c r="AM4" s="600">
        <v>2325183.13</v>
      </c>
      <c r="AN4" s="600">
        <v>2585060.9700000002</v>
      </c>
      <c r="AO4" s="600">
        <v>2465776.41</v>
      </c>
      <c r="AP4" s="597">
        <v>2820021.54</v>
      </c>
      <c r="AQ4" s="600">
        <v>3248680.77</v>
      </c>
      <c r="AR4" s="600">
        <v>3431178.67</v>
      </c>
      <c r="AS4" s="597">
        <v>3633519.6399984001</v>
      </c>
      <c r="AT4" s="600">
        <v>3298372.79</v>
      </c>
      <c r="AU4" s="600">
        <v>3867748.8300026599</v>
      </c>
      <c r="AV4" s="600">
        <v>3512341.53</v>
      </c>
      <c r="AW4" s="597">
        <v>3377907.4499958199</v>
      </c>
      <c r="AX4" s="597">
        <v>3158436.64</v>
      </c>
      <c r="AY4" s="597">
        <v>3903191.84</v>
      </c>
      <c r="AZ4" s="601">
        <v>3784416.73</v>
      </c>
      <c r="BA4" s="470">
        <v>3905433.4399826401</v>
      </c>
      <c r="BB4" s="602">
        <v>4085824.369999466</v>
      </c>
      <c r="BC4" s="490">
        <v>4155123.46</v>
      </c>
      <c r="BD4" s="603">
        <v>4266439.17</v>
      </c>
      <c r="BE4" s="655">
        <v>4445232.0199999996</v>
      </c>
      <c r="BF4" s="490">
        <v>4840474.6700767921</v>
      </c>
      <c r="BG4" s="655">
        <v>4697928.9000000004</v>
      </c>
      <c r="BH4" s="723">
        <v>5800272.3143385854</v>
      </c>
      <c r="BI4" s="722">
        <v>4385463.1701261625</v>
      </c>
      <c r="BJ4" s="722">
        <v>4306992.080122672</v>
      </c>
      <c r="BK4" s="722">
        <v>4083290.6301714471</v>
      </c>
      <c r="BL4" s="722">
        <v>4428206.780151384</v>
      </c>
      <c r="BM4" s="722">
        <v>4900681.8201609058</v>
      </c>
      <c r="BN4" s="722">
        <v>4723202.5601364253</v>
      </c>
      <c r="BO4" s="722">
        <v>4789172.010104252</v>
      </c>
      <c r="BP4" s="722">
        <v>5974908.2901375443</v>
      </c>
      <c r="BQ4" s="722">
        <v>5852620.3601276148</v>
      </c>
      <c r="BR4" s="722">
        <v>5417176.0001379307</v>
      </c>
      <c r="BS4" s="724">
        <v>5009433.4501676233</v>
      </c>
      <c r="BT4" s="722">
        <f>AVERAGE(BH4:BS4)</f>
        <v>4972618.2888235459</v>
      </c>
      <c r="BV4" s="471"/>
    </row>
    <row r="5" spans="1:76" x14ac:dyDescent="0.2">
      <c r="A5" s="589" t="s">
        <v>2</v>
      </c>
      <c r="B5" s="574"/>
      <c r="C5" s="530">
        <v>3717</v>
      </c>
      <c r="D5" s="530">
        <v>6236</v>
      </c>
      <c r="E5" s="530">
        <v>6525</v>
      </c>
      <c r="F5" s="530">
        <v>9593</v>
      </c>
      <c r="G5" s="530">
        <v>13635</v>
      </c>
      <c r="H5" s="530">
        <v>16480</v>
      </c>
      <c r="I5" s="530">
        <v>26761</v>
      </c>
      <c r="J5" s="530">
        <v>47476</v>
      </c>
      <c r="K5" s="530">
        <v>45997</v>
      </c>
      <c r="L5" s="531">
        <v>63415</v>
      </c>
      <c r="M5" s="531">
        <v>63965</v>
      </c>
      <c r="N5" s="531">
        <v>79339</v>
      </c>
      <c r="O5" s="532">
        <v>105913</v>
      </c>
      <c r="P5" s="532">
        <v>89450</v>
      </c>
      <c r="Q5" s="531">
        <v>83147</v>
      </c>
      <c r="R5" s="531">
        <v>95169</v>
      </c>
      <c r="S5" s="532">
        <v>130059</v>
      </c>
      <c r="T5" s="531">
        <v>208667.6</v>
      </c>
      <c r="U5" s="531">
        <v>127330</v>
      </c>
      <c r="V5" s="533">
        <v>144010</v>
      </c>
      <c r="W5" s="533">
        <v>139376</v>
      </c>
      <c r="X5" s="533">
        <v>149940</v>
      </c>
      <c r="Y5" s="533">
        <v>152998</v>
      </c>
      <c r="Z5" s="530">
        <v>179408</v>
      </c>
      <c r="AA5" s="530">
        <v>231113</v>
      </c>
      <c r="AB5" s="530">
        <v>186398.01</v>
      </c>
      <c r="AC5" s="530">
        <v>198342</v>
      </c>
      <c r="AD5" s="530">
        <v>186136.01</v>
      </c>
      <c r="AE5" s="530">
        <v>215427</v>
      </c>
      <c r="AF5" s="530">
        <v>232712</v>
      </c>
      <c r="AG5" s="530">
        <v>156209</v>
      </c>
      <c r="AH5" s="530">
        <v>191233</v>
      </c>
      <c r="AI5" s="533">
        <v>175394</v>
      </c>
      <c r="AJ5" s="530">
        <v>189280.82</v>
      </c>
      <c r="AK5" s="530">
        <v>179899</v>
      </c>
      <c r="AL5" s="533">
        <v>164555</v>
      </c>
      <c r="AM5" s="533">
        <v>242473.04</v>
      </c>
      <c r="AN5" s="533">
        <v>249914.01</v>
      </c>
      <c r="AO5" s="533">
        <v>179563</v>
      </c>
      <c r="AP5" s="530">
        <v>217122</v>
      </c>
      <c r="AQ5" s="533">
        <v>199464</v>
      </c>
      <c r="AR5" s="533">
        <v>210367.03</v>
      </c>
      <c r="AS5" s="530">
        <v>205204</v>
      </c>
      <c r="AT5" s="533">
        <v>201792.03</v>
      </c>
      <c r="AU5" s="533">
        <v>222727.02999999901</v>
      </c>
      <c r="AV5" s="533">
        <v>206836</v>
      </c>
      <c r="AW5" s="530">
        <v>236260.009998322</v>
      </c>
      <c r="AX5" s="530">
        <v>233689</v>
      </c>
      <c r="AY5" s="530">
        <v>416851.36</v>
      </c>
      <c r="AZ5" s="566">
        <v>259117</v>
      </c>
      <c r="BA5" s="472">
        <v>237382</v>
      </c>
      <c r="BB5" s="492">
        <v>253417.00999999981</v>
      </c>
      <c r="BC5" s="491">
        <v>242056</v>
      </c>
      <c r="BD5" s="579">
        <v>248585.04</v>
      </c>
      <c r="BE5" s="656">
        <v>237274</v>
      </c>
      <c r="BF5" s="491">
        <v>277300.00999999978</v>
      </c>
      <c r="BG5" s="656">
        <v>247006.01</v>
      </c>
      <c r="BH5" s="656">
        <v>304078.00999999978</v>
      </c>
      <c r="BI5" s="491">
        <v>253048</v>
      </c>
      <c r="BJ5" s="491">
        <v>272481.11000061041</v>
      </c>
      <c r="BK5" s="491">
        <v>406618.7700033189</v>
      </c>
      <c r="BL5" s="491">
        <v>284589.69000053412</v>
      </c>
      <c r="BM5" s="491">
        <v>291312.31999994256</v>
      </c>
      <c r="BN5" s="491">
        <v>287955</v>
      </c>
      <c r="BO5" s="491">
        <v>279805.00999999978</v>
      </c>
      <c r="BP5" s="491">
        <v>377275.78999996191</v>
      </c>
      <c r="BQ5" s="491">
        <v>320810</v>
      </c>
      <c r="BR5" s="491">
        <v>301343.32000423421</v>
      </c>
      <c r="BS5" s="725">
        <v>308942.50000167824</v>
      </c>
      <c r="BT5" s="491">
        <f t="shared" ref="BT5:BT34" si="0">AVERAGE(BH5:BS5)</f>
        <v>307354.9600008566</v>
      </c>
      <c r="BV5" s="471"/>
    </row>
    <row r="6" spans="1:76" x14ac:dyDescent="0.2">
      <c r="A6" s="589" t="s">
        <v>3</v>
      </c>
      <c r="B6" s="574"/>
      <c r="C6" s="530">
        <v>851.3</v>
      </c>
      <c r="D6" s="530">
        <v>8456.8499526977503</v>
      </c>
      <c r="E6" s="530">
        <v>12079.79</v>
      </c>
      <c r="F6" s="530">
        <v>17791.47</v>
      </c>
      <c r="G6" s="530">
        <v>33907.35</v>
      </c>
      <c r="H6" s="530">
        <v>55962.45</v>
      </c>
      <c r="I6" s="530">
        <v>80466.710000000006</v>
      </c>
      <c r="J6" s="530">
        <v>68711.92</v>
      </c>
      <c r="K6" s="530">
        <v>153019.54</v>
      </c>
      <c r="L6" s="531">
        <v>125693.5</v>
      </c>
      <c r="M6" s="531">
        <v>148989.95000000001</v>
      </c>
      <c r="N6" s="531">
        <v>179816.65</v>
      </c>
      <c r="O6" s="532">
        <v>206714.23999999999</v>
      </c>
      <c r="P6" s="532">
        <v>211740.1</v>
      </c>
      <c r="Q6" s="531">
        <v>277468.81</v>
      </c>
      <c r="R6" s="531">
        <v>276232.52</v>
      </c>
      <c r="S6" s="532">
        <v>380179.5</v>
      </c>
      <c r="T6" s="531">
        <v>469034.41</v>
      </c>
      <c r="U6" s="531">
        <v>466544.09</v>
      </c>
      <c r="V6" s="533">
        <v>605828.27</v>
      </c>
      <c r="W6" s="533">
        <v>664853.87</v>
      </c>
      <c r="X6" s="533">
        <v>635968.89</v>
      </c>
      <c r="Y6" s="533">
        <v>628698.87</v>
      </c>
      <c r="Z6" s="530">
        <v>660741.23</v>
      </c>
      <c r="AA6" s="530">
        <v>602328.4</v>
      </c>
      <c r="AB6" s="530">
        <v>699062.72</v>
      </c>
      <c r="AC6" s="530">
        <v>765223.39013025502</v>
      </c>
      <c r="AD6" s="530">
        <v>732131.74</v>
      </c>
      <c r="AE6" s="530">
        <v>970790.42049352301</v>
      </c>
      <c r="AF6" s="530">
        <v>1237187.54</v>
      </c>
      <c r="AG6" s="530">
        <v>873942.59</v>
      </c>
      <c r="AH6" s="530">
        <v>959927.08</v>
      </c>
      <c r="AI6" s="533">
        <v>1009712.56969934</v>
      </c>
      <c r="AJ6" s="530">
        <v>859233.3</v>
      </c>
      <c r="AK6" s="530">
        <v>986571.76</v>
      </c>
      <c r="AL6" s="533">
        <v>1033134.86</v>
      </c>
      <c r="AM6" s="533">
        <v>874089.32</v>
      </c>
      <c r="AN6" s="533">
        <v>1044091.51</v>
      </c>
      <c r="AO6" s="533">
        <v>952471.19</v>
      </c>
      <c r="AP6" s="530">
        <v>1110223.07</v>
      </c>
      <c r="AQ6" s="533">
        <v>1211674.75</v>
      </c>
      <c r="AR6" s="533">
        <v>1193373.76</v>
      </c>
      <c r="AS6" s="530">
        <v>1573160.90909801</v>
      </c>
      <c r="AT6" s="533">
        <v>1082772.6599999999</v>
      </c>
      <c r="AU6" s="533">
        <v>1330672.0597095699</v>
      </c>
      <c r="AV6" s="533">
        <v>1325828.0900000001</v>
      </c>
      <c r="AW6" s="530">
        <v>1567809.42081872</v>
      </c>
      <c r="AX6" s="530">
        <v>1313416.56</v>
      </c>
      <c r="AY6" s="530">
        <v>1487335.54</v>
      </c>
      <c r="AZ6" s="566">
        <v>1316939.3999999999</v>
      </c>
      <c r="BA6" s="472">
        <v>1069465.8301458501</v>
      </c>
      <c r="BB6" s="492">
        <v>1404226.6596036381</v>
      </c>
      <c r="BC6" s="491">
        <v>1592653.57</v>
      </c>
      <c r="BD6" s="579">
        <v>1560163.94</v>
      </c>
      <c r="BE6" s="656">
        <v>1362661.1</v>
      </c>
      <c r="BF6" s="491">
        <v>1490632.399090918</v>
      </c>
      <c r="BG6" s="656">
        <v>1907596.19</v>
      </c>
      <c r="BH6" s="656">
        <v>1877838.5112166232</v>
      </c>
      <c r="BI6" s="491">
        <v>1935225.5442329294</v>
      </c>
      <c r="BJ6" s="491">
        <v>1702937.7033287317</v>
      </c>
      <c r="BK6" s="491">
        <v>1474679.2215583154</v>
      </c>
      <c r="BL6" s="491">
        <v>1743228.1988975552</v>
      </c>
      <c r="BM6" s="491">
        <v>1826578.1495525201</v>
      </c>
      <c r="BN6" s="491">
        <v>1748189.0775127201</v>
      </c>
      <c r="BO6" s="491">
        <v>1928616.3129722404</v>
      </c>
      <c r="BP6" s="491">
        <v>1723859.1027311464</v>
      </c>
      <c r="BQ6" s="491">
        <v>1856350.4826968221</v>
      </c>
      <c r="BR6" s="491">
        <v>1946468.0926185548</v>
      </c>
      <c r="BS6" s="725">
        <v>1547675.7130976692</v>
      </c>
      <c r="BT6" s="491">
        <f t="shared" si="0"/>
        <v>1775970.509201319</v>
      </c>
      <c r="BU6" s="473"/>
      <c r="BV6" s="471"/>
    </row>
    <row r="7" spans="1:76" x14ac:dyDescent="0.2">
      <c r="A7" s="589" t="s">
        <v>4</v>
      </c>
      <c r="B7" s="574"/>
      <c r="C7" s="530">
        <v>6924</v>
      </c>
      <c r="D7" s="530">
        <v>9951</v>
      </c>
      <c r="E7" s="530">
        <v>13555</v>
      </c>
      <c r="F7" s="530">
        <v>24359.58</v>
      </c>
      <c r="G7" s="530">
        <v>37313.599999999999</v>
      </c>
      <c r="H7" s="530">
        <v>43295.43</v>
      </c>
      <c r="I7" s="530">
        <v>75424.66</v>
      </c>
      <c r="J7" s="530">
        <v>131593.24</v>
      </c>
      <c r="K7" s="530">
        <v>134876.62</v>
      </c>
      <c r="L7" s="531">
        <v>173196.05</v>
      </c>
      <c r="M7" s="531">
        <v>177547.53</v>
      </c>
      <c r="N7" s="531">
        <v>186464.47</v>
      </c>
      <c r="O7" s="532">
        <v>232024.75</v>
      </c>
      <c r="P7" s="532">
        <v>248582.63</v>
      </c>
      <c r="Q7" s="531">
        <v>267526.34999999998</v>
      </c>
      <c r="R7" s="531">
        <v>299755.90000000002</v>
      </c>
      <c r="S7" s="532">
        <v>457770.58</v>
      </c>
      <c r="T7" s="531">
        <v>615418.52</v>
      </c>
      <c r="U7" s="531">
        <v>511852.06</v>
      </c>
      <c r="V7" s="533">
        <v>572302.6</v>
      </c>
      <c r="W7" s="533">
        <v>545105.41</v>
      </c>
      <c r="X7" s="533">
        <v>563978.9</v>
      </c>
      <c r="Y7" s="533">
        <v>544252.06000000006</v>
      </c>
      <c r="Z7" s="530">
        <v>571243.56000000006</v>
      </c>
      <c r="AA7" s="530">
        <v>633815.68999999994</v>
      </c>
      <c r="AB7" s="530">
        <v>630059.11</v>
      </c>
      <c r="AC7" s="530">
        <v>638957.24996289599</v>
      </c>
      <c r="AD7" s="530">
        <v>673470.25</v>
      </c>
      <c r="AE7" s="530">
        <v>835243.34001718496</v>
      </c>
      <c r="AF7" s="530">
        <v>931358.68</v>
      </c>
      <c r="AG7" s="530">
        <v>755447.14</v>
      </c>
      <c r="AH7" s="530">
        <v>869696.96</v>
      </c>
      <c r="AI7" s="533">
        <v>807465.22992309905</v>
      </c>
      <c r="AJ7" s="530">
        <v>749362.5</v>
      </c>
      <c r="AK7" s="530">
        <v>739379.01</v>
      </c>
      <c r="AL7" s="533">
        <v>711367.9</v>
      </c>
      <c r="AM7" s="533">
        <v>778443.7</v>
      </c>
      <c r="AN7" s="533">
        <v>824601.23</v>
      </c>
      <c r="AO7" s="533">
        <v>764978.43</v>
      </c>
      <c r="AP7" s="530">
        <v>815549.04</v>
      </c>
      <c r="AQ7" s="533">
        <v>911501.02</v>
      </c>
      <c r="AR7" s="533">
        <v>1030408.8</v>
      </c>
      <c r="AS7" s="530">
        <v>1076548.32996953</v>
      </c>
      <c r="AT7" s="533">
        <v>1103213.5900000001</v>
      </c>
      <c r="AU7" s="533">
        <v>1187653.91994859</v>
      </c>
      <c r="AV7" s="533">
        <v>1038260.96</v>
      </c>
      <c r="AW7" s="530">
        <v>1098734.9699183099</v>
      </c>
      <c r="AX7" s="530">
        <v>1064132.5900000001</v>
      </c>
      <c r="AY7" s="530">
        <v>1349735.79</v>
      </c>
      <c r="AZ7" s="566">
        <v>1028779.69</v>
      </c>
      <c r="BA7" s="472">
        <v>1586127.19</v>
      </c>
      <c r="BB7" s="492">
        <v>1090140.5300908384</v>
      </c>
      <c r="BC7" s="491">
        <v>1191686.47</v>
      </c>
      <c r="BD7" s="579">
        <v>1327356.95</v>
      </c>
      <c r="BE7" s="656">
        <v>1523319.53</v>
      </c>
      <c r="BF7" s="491">
        <v>1607675.0902560672</v>
      </c>
      <c r="BG7" s="656">
        <v>1551988.96</v>
      </c>
      <c r="BH7" s="656">
        <v>1735284.5436169449</v>
      </c>
      <c r="BI7" s="491">
        <v>1387217.8430827747</v>
      </c>
      <c r="BJ7" s="491">
        <v>1421794.4041289112</v>
      </c>
      <c r="BK7" s="491">
        <v>1481310.2637328061</v>
      </c>
      <c r="BL7" s="491">
        <v>1375959.2018687669</v>
      </c>
      <c r="BM7" s="491">
        <v>1381399.9714010062</v>
      </c>
      <c r="BN7" s="491">
        <v>1357509.1224705819</v>
      </c>
      <c r="BO7" s="491">
        <v>1410690.4426865969</v>
      </c>
      <c r="BP7" s="491">
        <v>1886936.4053251962</v>
      </c>
      <c r="BQ7" s="491">
        <v>1861182.4047303686</v>
      </c>
      <c r="BR7" s="491">
        <v>1731493.0546577682</v>
      </c>
      <c r="BS7" s="725">
        <v>1627858.5234174691</v>
      </c>
      <c r="BT7" s="491">
        <f t="shared" si="0"/>
        <v>1554886.3484265991</v>
      </c>
    </row>
    <row r="8" spans="1:76" x14ac:dyDescent="0.2">
      <c r="A8" s="589" t="s">
        <v>5</v>
      </c>
      <c r="B8" s="575"/>
      <c r="C8" s="530"/>
      <c r="D8" s="530"/>
      <c r="E8" s="530"/>
      <c r="F8" s="530"/>
      <c r="G8" s="530"/>
      <c r="H8" s="530"/>
      <c r="I8" s="530"/>
      <c r="J8" s="530"/>
      <c r="K8" s="530"/>
      <c r="L8" s="531"/>
      <c r="M8" s="531"/>
      <c r="N8" s="531">
        <v>3257.9</v>
      </c>
      <c r="O8" s="532">
        <v>11232.32</v>
      </c>
      <c r="P8" s="532">
        <v>6239.4</v>
      </c>
      <c r="Q8" s="531">
        <v>983.59</v>
      </c>
      <c r="R8" s="531">
        <v>13634.32</v>
      </c>
      <c r="S8" s="532">
        <v>13926.1</v>
      </c>
      <c r="T8" s="531">
        <v>9839.41</v>
      </c>
      <c r="U8" s="531">
        <v>34407.42</v>
      </c>
      <c r="V8" s="533">
        <v>30381.03</v>
      </c>
      <c r="W8" s="533">
        <v>3912.78</v>
      </c>
      <c r="X8" s="533">
        <v>24679.88</v>
      </c>
      <c r="Y8" s="533">
        <v>52758.02</v>
      </c>
      <c r="Z8" s="530">
        <v>81219.73</v>
      </c>
      <c r="AA8" s="530">
        <v>33816.74</v>
      </c>
      <c r="AB8" s="530">
        <v>20501.849999999999</v>
      </c>
      <c r="AC8" s="530">
        <v>48937.529980516098</v>
      </c>
      <c r="AD8" s="530">
        <v>56918.33</v>
      </c>
      <c r="AE8" s="530">
        <v>53496.6</v>
      </c>
      <c r="AF8" s="530">
        <v>62286.42</v>
      </c>
      <c r="AG8" s="530">
        <v>33810.51</v>
      </c>
      <c r="AH8" s="530">
        <v>72743.710000000006</v>
      </c>
      <c r="AI8" s="533">
        <v>87610.529981143802</v>
      </c>
      <c r="AJ8" s="530">
        <v>54217.7</v>
      </c>
      <c r="AK8" s="530">
        <v>76353.179999999993</v>
      </c>
      <c r="AL8" s="533">
        <v>35431.83</v>
      </c>
      <c r="AM8" s="533">
        <v>68171.289999999994</v>
      </c>
      <c r="AN8" s="533">
        <v>45252.62</v>
      </c>
      <c r="AO8" s="533">
        <v>70900.22</v>
      </c>
      <c r="AP8" s="530">
        <v>68128.960000000006</v>
      </c>
      <c r="AQ8" s="533">
        <v>96229.39</v>
      </c>
      <c r="AR8" s="533">
        <v>66144.38</v>
      </c>
      <c r="AS8" s="530">
        <v>50579.219976864799</v>
      </c>
      <c r="AT8" s="533">
        <v>27553.47</v>
      </c>
      <c r="AU8" s="533">
        <v>67281.1699806955</v>
      </c>
      <c r="AV8" s="533">
        <v>120733.4</v>
      </c>
      <c r="AW8" s="530">
        <v>78884.160001333803</v>
      </c>
      <c r="AX8" s="530">
        <v>104231.92</v>
      </c>
      <c r="AY8" s="530">
        <v>157796.71</v>
      </c>
      <c r="AZ8" s="566">
        <v>74363.839999999997</v>
      </c>
      <c r="BA8" s="472">
        <v>77400.41</v>
      </c>
      <c r="BB8" s="492">
        <v>75514.210004344597</v>
      </c>
      <c r="BC8" s="491">
        <v>94648.13</v>
      </c>
      <c r="BD8" s="579">
        <v>119960.82</v>
      </c>
      <c r="BE8" s="656">
        <v>119365.24</v>
      </c>
      <c r="BF8" s="491">
        <v>73200.44005834125</v>
      </c>
      <c r="BG8" s="656">
        <v>30944.83</v>
      </c>
      <c r="BH8" s="656">
        <v>86790.669967459515</v>
      </c>
      <c r="BI8" s="491">
        <v>154915.14008605474</v>
      </c>
      <c r="BJ8" s="491">
        <v>94005.789982963368</v>
      </c>
      <c r="BK8" s="491">
        <v>527128.09091027081</v>
      </c>
      <c r="BL8" s="491">
        <v>186809.10040275005</v>
      </c>
      <c r="BM8" s="491">
        <v>133606.74020242694</v>
      </c>
      <c r="BN8" s="491">
        <v>305016.29299302207</v>
      </c>
      <c r="BO8" s="491">
        <v>240614.62063509977</v>
      </c>
      <c r="BP8" s="491">
        <v>272134.43085956585</v>
      </c>
      <c r="BQ8" s="491">
        <v>254190.83028161529</v>
      </c>
      <c r="BR8" s="491">
        <v>187069.34023499495</v>
      </c>
      <c r="BS8" s="725">
        <v>177788.68053019044</v>
      </c>
      <c r="BT8" s="491">
        <f t="shared" si="0"/>
        <v>218339.14392386781</v>
      </c>
      <c r="BU8" s="716"/>
      <c r="BX8" s="471"/>
    </row>
    <row r="9" spans="1:76" x14ac:dyDescent="0.2">
      <c r="A9" s="589" t="s">
        <v>6</v>
      </c>
      <c r="B9" s="574"/>
      <c r="C9" s="530"/>
      <c r="D9" s="530"/>
      <c r="E9" s="530"/>
      <c r="F9" s="530"/>
      <c r="G9" s="530"/>
      <c r="H9" s="530"/>
      <c r="I9" s="530"/>
      <c r="J9" s="530"/>
      <c r="K9" s="530"/>
      <c r="L9" s="531"/>
      <c r="M9" s="531"/>
      <c r="N9" s="531">
        <f t="shared" ref="N9:AP9" si="1">SUM(N6:N7)-N8</f>
        <v>363023.22</v>
      </c>
      <c r="O9" s="532">
        <f t="shared" si="1"/>
        <v>427506.67</v>
      </c>
      <c r="P9" s="532">
        <f t="shared" si="1"/>
        <v>454083.32999999996</v>
      </c>
      <c r="Q9" s="531">
        <f t="shared" si="1"/>
        <v>544011.56999999995</v>
      </c>
      <c r="R9" s="531">
        <f t="shared" si="1"/>
        <v>562354.10000000009</v>
      </c>
      <c r="S9" s="532">
        <f t="shared" si="1"/>
        <v>824023.9800000001</v>
      </c>
      <c r="T9" s="531">
        <f t="shared" si="1"/>
        <v>1074613.52</v>
      </c>
      <c r="U9" s="531">
        <f t="shared" si="1"/>
        <v>943988.73</v>
      </c>
      <c r="V9" s="533">
        <f t="shared" si="1"/>
        <v>1147749.8400000001</v>
      </c>
      <c r="W9" s="533">
        <f t="shared" si="1"/>
        <v>1206046.5</v>
      </c>
      <c r="X9" s="533">
        <f t="shared" si="1"/>
        <v>1175267.9100000001</v>
      </c>
      <c r="Y9" s="533">
        <f t="shared" si="1"/>
        <v>1120192.9100000001</v>
      </c>
      <c r="Z9" s="530">
        <f t="shared" si="1"/>
        <v>1150765.06</v>
      </c>
      <c r="AA9" s="530">
        <f t="shared" si="1"/>
        <v>1202327.3499999999</v>
      </c>
      <c r="AB9" s="530">
        <f t="shared" si="1"/>
        <v>1308619.98</v>
      </c>
      <c r="AC9" s="530">
        <f t="shared" si="1"/>
        <v>1355243.110112635</v>
      </c>
      <c r="AD9" s="530">
        <f t="shared" si="1"/>
        <v>1348683.66</v>
      </c>
      <c r="AE9" s="530">
        <f t="shared" si="1"/>
        <v>1752537.1605107079</v>
      </c>
      <c r="AF9" s="530">
        <f t="shared" si="1"/>
        <v>2106259.8000000003</v>
      </c>
      <c r="AG9" s="530">
        <f t="shared" si="1"/>
        <v>1595579.22</v>
      </c>
      <c r="AH9" s="530">
        <f t="shared" si="1"/>
        <v>1756880.33</v>
      </c>
      <c r="AI9" s="533">
        <f t="shared" si="1"/>
        <v>1729567.2696412953</v>
      </c>
      <c r="AJ9" s="530">
        <f t="shared" si="1"/>
        <v>1554378.1</v>
      </c>
      <c r="AK9" s="530">
        <f t="shared" si="1"/>
        <v>1649597.59</v>
      </c>
      <c r="AL9" s="533">
        <f t="shared" si="1"/>
        <v>1709070.93</v>
      </c>
      <c r="AM9" s="533">
        <f t="shared" si="1"/>
        <v>1584361.73</v>
      </c>
      <c r="AN9" s="533">
        <f t="shared" si="1"/>
        <v>1823440.1199999999</v>
      </c>
      <c r="AO9" s="533">
        <f t="shared" si="1"/>
        <v>1646549.4000000001</v>
      </c>
      <c r="AP9" s="530">
        <f t="shared" si="1"/>
        <v>1857643.1500000001</v>
      </c>
      <c r="AQ9" s="533">
        <f t="shared" ref="AQ9:AY9" si="2">SUM(AQ6:AQ7)-AQ8</f>
        <v>2026946.3800000001</v>
      </c>
      <c r="AR9" s="533">
        <f t="shared" si="2"/>
        <v>2157638.1800000002</v>
      </c>
      <c r="AS9" s="530">
        <f t="shared" si="2"/>
        <v>2599130.0190906753</v>
      </c>
      <c r="AT9" s="533">
        <f t="shared" si="2"/>
        <v>2158432.7799999998</v>
      </c>
      <c r="AU9" s="533">
        <f t="shared" si="2"/>
        <v>2451044.8096774644</v>
      </c>
      <c r="AV9" s="533">
        <f t="shared" si="2"/>
        <v>2243355.65</v>
      </c>
      <c r="AW9" s="530">
        <f t="shared" si="2"/>
        <v>2587660.2307356959</v>
      </c>
      <c r="AX9" s="530">
        <f t="shared" si="2"/>
        <v>2273317.2300000004</v>
      </c>
      <c r="AY9" s="530">
        <f t="shared" si="2"/>
        <v>2679274.62</v>
      </c>
      <c r="AZ9" s="566">
        <f t="shared" ref="AZ9:BM9" si="3">SUM(AZ6:AZ7)-AZ8</f>
        <v>2271355.25</v>
      </c>
      <c r="BA9" s="472">
        <f t="shared" si="3"/>
        <v>2578192.6101458501</v>
      </c>
      <c r="BB9" s="492">
        <f t="shared" si="3"/>
        <v>2418852.9796901317</v>
      </c>
      <c r="BC9" s="491">
        <f t="shared" si="3"/>
        <v>2689691.91</v>
      </c>
      <c r="BD9" s="579">
        <f t="shared" si="3"/>
        <v>2767560.07</v>
      </c>
      <c r="BE9" s="656">
        <f t="shared" si="3"/>
        <v>2766615.3899999997</v>
      </c>
      <c r="BF9" s="491">
        <f t="shared" si="3"/>
        <v>3025107.049288644</v>
      </c>
      <c r="BG9" s="656">
        <f t="shared" si="3"/>
        <v>3428640.32</v>
      </c>
      <c r="BH9" s="656">
        <f t="shared" si="3"/>
        <v>3526332.3848661087</v>
      </c>
      <c r="BI9" s="491">
        <f t="shared" si="3"/>
        <v>3167528.2472296492</v>
      </c>
      <c r="BJ9" s="491">
        <f t="shared" si="3"/>
        <v>3030726.3174746796</v>
      </c>
      <c r="BK9" s="491">
        <f t="shared" si="3"/>
        <v>2428861.3943808507</v>
      </c>
      <c r="BL9" s="491">
        <f t="shared" si="3"/>
        <v>2932378.3003635723</v>
      </c>
      <c r="BM9" s="491">
        <f t="shared" si="3"/>
        <v>3074371.3807510994</v>
      </c>
      <c r="BN9" s="491">
        <f t="shared" ref="BN9:BS9" si="4">SUM(BN6:BN7)-BN8</f>
        <v>2800681.9069902799</v>
      </c>
      <c r="BO9" s="491">
        <f t="shared" si="4"/>
        <v>3098692.1350237373</v>
      </c>
      <c r="BP9" s="491">
        <f t="shared" si="4"/>
        <v>3338661.0771967769</v>
      </c>
      <c r="BQ9" s="491">
        <f t="shared" si="4"/>
        <v>3463342.0571455755</v>
      </c>
      <c r="BR9" s="491">
        <f t="shared" si="4"/>
        <v>3490891.8070413284</v>
      </c>
      <c r="BS9" s="725">
        <f t="shared" si="4"/>
        <v>2997745.5559849478</v>
      </c>
      <c r="BT9" s="491">
        <f t="shared" si="0"/>
        <v>3112517.713704051</v>
      </c>
      <c r="BX9" s="471"/>
    </row>
    <row r="10" spans="1:76" x14ac:dyDescent="0.2">
      <c r="A10" s="589" t="s">
        <v>7</v>
      </c>
      <c r="B10" s="574"/>
      <c r="C10" s="530">
        <v>369.9</v>
      </c>
      <c r="D10" s="530">
        <v>5103.4199686050397</v>
      </c>
      <c r="E10" s="530">
        <v>9176.09</v>
      </c>
      <c r="F10" s="530">
        <v>10653.48</v>
      </c>
      <c r="G10" s="530">
        <v>19848.96</v>
      </c>
      <c r="H10" s="530">
        <v>39455.360000000001</v>
      </c>
      <c r="I10" s="530">
        <v>49947.22</v>
      </c>
      <c r="J10" s="530">
        <v>48482.05</v>
      </c>
      <c r="K10" s="530">
        <v>103038.32</v>
      </c>
      <c r="L10" s="531">
        <v>85145.65</v>
      </c>
      <c r="M10" s="531">
        <v>103098.2</v>
      </c>
      <c r="N10" s="531">
        <v>124774.18</v>
      </c>
      <c r="O10" s="532">
        <v>129500.45</v>
      </c>
      <c r="P10" s="532">
        <v>144387.81</v>
      </c>
      <c r="Q10" s="531">
        <v>208196.13</v>
      </c>
      <c r="R10" s="531">
        <v>220947.1</v>
      </c>
      <c r="S10" s="532">
        <v>290453.40000000002</v>
      </c>
      <c r="T10" s="531">
        <v>367795.41</v>
      </c>
      <c r="U10" s="531">
        <v>384798.53</v>
      </c>
      <c r="V10" s="533">
        <v>542550.26</v>
      </c>
      <c r="W10" s="533">
        <v>536672.05000000005</v>
      </c>
      <c r="X10" s="533">
        <v>519462.33</v>
      </c>
      <c r="Y10" s="533">
        <v>471634.59</v>
      </c>
      <c r="Z10" s="530">
        <v>538591.14</v>
      </c>
      <c r="AA10" s="530">
        <v>493330.29</v>
      </c>
      <c r="AB10" s="530">
        <v>650529.71</v>
      </c>
      <c r="AC10" s="530">
        <v>682247.88041588303</v>
      </c>
      <c r="AD10" s="530">
        <v>657027.9</v>
      </c>
      <c r="AE10" s="530">
        <v>897678.97066686896</v>
      </c>
      <c r="AF10" s="530">
        <v>1141205.78</v>
      </c>
      <c r="AG10" s="530">
        <v>822252.72</v>
      </c>
      <c r="AH10" s="530">
        <v>986885.22</v>
      </c>
      <c r="AI10" s="533">
        <v>879176.45029898698</v>
      </c>
      <c r="AJ10" s="530">
        <v>717233.38</v>
      </c>
      <c r="AK10" s="530">
        <v>910751.78</v>
      </c>
      <c r="AL10" s="533">
        <v>851813.6</v>
      </c>
      <c r="AM10" s="533">
        <v>738220.89</v>
      </c>
      <c r="AN10" s="533">
        <v>790477.84</v>
      </c>
      <c r="AO10" s="533">
        <v>754492.36</v>
      </c>
      <c r="AP10" s="530">
        <v>882089.09</v>
      </c>
      <c r="AQ10" s="533">
        <v>901589.09</v>
      </c>
      <c r="AR10" s="533">
        <v>896316.78</v>
      </c>
      <c r="AS10" s="530">
        <v>1389972.4506548401</v>
      </c>
      <c r="AT10" s="533">
        <v>935778.56</v>
      </c>
      <c r="AU10" s="533">
        <v>1119010.8201043401</v>
      </c>
      <c r="AV10" s="533">
        <v>1126097.77</v>
      </c>
      <c r="AW10" s="530">
        <v>1293824.41894476</v>
      </c>
      <c r="AX10" s="530">
        <v>1149419.3700000001</v>
      </c>
      <c r="AY10" s="530">
        <v>1287540.83</v>
      </c>
      <c r="AZ10" s="566">
        <v>1157848.8799999999</v>
      </c>
      <c r="BA10" s="472">
        <v>1361049.7</v>
      </c>
      <c r="BB10" s="492">
        <v>1234825.2594958809</v>
      </c>
      <c r="BC10" s="491">
        <v>1426503.63</v>
      </c>
      <c r="BD10" s="579">
        <v>1356771.78</v>
      </c>
      <c r="BE10" s="656">
        <v>1342563.94</v>
      </c>
      <c r="BF10" s="491">
        <v>1472224.601240806</v>
      </c>
      <c r="BG10" s="656">
        <v>1876784.99</v>
      </c>
      <c r="BH10" s="656">
        <v>1558854.07</v>
      </c>
      <c r="BI10" s="491">
        <v>2066315.1486027674</v>
      </c>
      <c r="BJ10" s="491">
        <v>1801906.1589087341</v>
      </c>
      <c r="BK10" s="491">
        <v>1474904.4178065585</v>
      </c>
      <c r="BL10" s="491">
        <v>1630654.8909511564</v>
      </c>
      <c r="BM10" s="491">
        <v>2153166.7582014031</v>
      </c>
      <c r="BN10" s="491">
        <v>2223994.0796860605</v>
      </c>
      <c r="BO10" s="491">
        <v>2152725.126820819</v>
      </c>
      <c r="BP10" s="491">
        <v>2105614.8973325035</v>
      </c>
      <c r="BQ10" s="491">
        <v>2241165.956956083</v>
      </c>
      <c r="BR10" s="491">
        <v>2343003.0770489462</v>
      </c>
      <c r="BS10" s="725">
        <v>1809150.5061232245</v>
      </c>
      <c r="BT10" s="491">
        <f t="shared" si="0"/>
        <v>1963454.5907031882</v>
      </c>
    </row>
    <row r="11" spans="1:76" x14ac:dyDescent="0.2">
      <c r="A11" s="589" t="s">
        <v>8</v>
      </c>
      <c r="B11" s="574"/>
      <c r="C11" s="530">
        <v>120</v>
      </c>
      <c r="D11" s="530">
        <v>762.81999588012695</v>
      </c>
      <c r="E11" s="530">
        <v>4537.34</v>
      </c>
      <c r="F11" s="530">
        <v>10674.91</v>
      </c>
      <c r="G11" s="530">
        <v>14820.9</v>
      </c>
      <c r="H11" s="530">
        <v>30162.5</v>
      </c>
      <c r="I11" s="530">
        <v>24574.1</v>
      </c>
      <c r="J11" s="530">
        <v>28414.16</v>
      </c>
      <c r="K11" s="530">
        <v>38504.660000000003</v>
      </c>
      <c r="L11" s="531">
        <v>30254.19</v>
      </c>
      <c r="M11" s="531">
        <v>78661.990000000005</v>
      </c>
      <c r="N11" s="531">
        <v>60939.5</v>
      </c>
      <c r="O11" s="532">
        <v>52244.35</v>
      </c>
      <c r="P11" s="532">
        <v>59853.15</v>
      </c>
      <c r="Q11" s="531">
        <v>153220.28</v>
      </c>
      <c r="R11" s="531">
        <v>59513.89</v>
      </c>
      <c r="S11" s="532">
        <v>138064.13</v>
      </c>
      <c r="T11" s="531">
        <v>142415.46</v>
      </c>
      <c r="U11" s="531">
        <v>179196.88</v>
      </c>
      <c r="V11" s="533">
        <v>72898.600000000006</v>
      </c>
      <c r="W11" s="533">
        <v>34517.61</v>
      </c>
      <c r="X11" s="533">
        <v>52163.61</v>
      </c>
      <c r="Y11" s="533">
        <v>60389.14</v>
      </c>
      <c r="Z11" s="530">
        <v>28304.87</v>
      </c>
      <c r="AA11" s="530">
        <v>189616.86</v>
      </c>
      <c r="AB11" s="530">
        <v>2827.95</v>
      </c>
      <c r="AC11" s="530">
        <v>15291.219995900999</v>
      </c>
      <c r="AD11" s="530">
        <v>2771.07</v>
      </c>
      <c r="AE11" s="530">
        <v>5748.29</v>
      </c>
      <c r="AF11" s="530">
        <v>15281.39</v>
      </c>
      <c r="AG11" s="530">
        <v>14329.1</v>
      </c>
      <c r="AH11" s="530">
        <v>36057.980000000003</v>
      </c>
      <c r="AI11" s="533">
        <v>33169.860002288602</v>
      </c>
      <c r="AJ11" s="530">
        <v>35820.99</v>
      </c>
      <c r="AK11" s="530">
        <v>42120.88</v>
      </c>
      <c r="AL11" s="533">
        <v>40361.360000000001</v>
      </c>
      <c r="AM11" s="533">
        <v>52731.24</v>
      </c>
      <c r="AN11" s="533">
        <v>47043.41</v>
      </c>
      <c r="AO11" s="533">
        <v>38022.19</v>
      </c>
      <c r="AP11" s="530">
        <v>28255.64</v>
      </c>
      <c r="AQ11" s="533">
        <v>23515.97</v>
      </c>
      <c r="AR11" s="533">
        <v>34827.22</v>
      </c>
      <c r="AS11" s="530">
        <v>64993.079933643297</v>
      </c>
      <c r="AT11" s="533">
        <v>27473.73</v>
      </c>
      <c r="AU11" s="533">
        <v>112215.449923525</v>
      </c>
      <c r="AV11" s="533">
        <v>106606.63</v>
      </c>
      <c r="AW11" s="530">
        <v>60105.020020294898</v>
      </c>
      <c r="AX11" s="530">
        <v>52306.27</v>
      </c>
      <c r="AY11" s="530">
        <v>89605.93</v>
      </c>
      <c r="AZ11" s="566">
        <v>57576.9700181484</v>
      </c>
      <c r="BA11" s="472">
        <v>318345.59999999998</v>
      </c>
      <c r="BB11" s="492">
        <v>31995.62998128869</v>
      </c>
      <c r="BC11" s="491">
        <v>41364.99</v>
      </c>
      <c r="BD11" s="579">
        <v>38165.83</v>
      </c>
      <c r="BE11" s="656">
        <v>51968.43</v>
      </c>
      <c r="BF11" s="491">
        <v>38232.750024795532</v>
      </c>
      <c r="BG11" s="656">
        <v>22551.98</v>
      </c>
      <c r="BH11" s="656">
        <v>1694750.96</v>
      </c>
      <c r="BI11" s="491">
        <v>104668.91999119706</v>
      </c>
      <c r="BJ11" s="491">
        <v>8604.6900317519776</v>
      </c>
      <c r="BK11" s="491">
        <v>8411.0999760776758</v>
      </c>
      <c r="BL11" s="491">
        <v>167936.10007094586</v>
      </c>
      <c r="BM11" s="491">
        <v>-5786.1599889807376</v>
      </c>
      <c r="BN11" s="491">
        <v>313394.81979085866</v>
      </c>
      <c r="BO11" s="491">
        <v>136978.06992224426</v>
      </c>
      <c r="BP11" s="491">
        <v>101118.09985459411</v>
      </c>
      <c r="BQ11" s="491">
        <v>94532.670005580425</v>
      </c>
      <c r="BR11" s="491">
        <v>117887.32998263089</v>
      </c>
      <c r="BS11" s="725">
        <v>104377.44000873341</v>
      </c>
      <c r="BT11" s="491">
        <f t="shared" si="0"/>
        <v>237239.50330380281</v>
      </c>
      <c r="BU11" s="471"/>
      <c r="BV11" s="474"/>
    </row>
    <row r="12" spans="1:76" x14ac:dyDescent="0.2">
      <c r="A12" s="589" t="s">
        <v>9</v>
      </c>
      <c r="B12" s="574"/>
      <c r="C12" s="534">
        <v>162</v>
      </c>
      <c r="D12" s="534">
        <v>260</v>
      </c>
      <c r="E12" s="534">
        <v>371</v>
      </c>
      <c r="F12" s="534">
        <v>591</v>
      </c>
      <c r="G12" s="534">
        <v>830</v>
      </c>
      <c r="H12" s="534">
        <v>1030</v>
      </c>
      <c r="I12" s="534">
        <v>1363</v>
      </c>
      <c r="J12" s="534">
        <v>2130</v>
      </c>
      <c r="K12" s="534">
        <v>2381</v>
      </c>
      <c r="L12" s="535">
        <v>2904</v>
      </c>
      <c r="M12" s="535">
        <v>3200</v>
      </c>
      <c r="N12" s="535">
        <v>3330</v>
      </c>
      <c r="O12" s="536">
        <v>4788</v>
      </c>
      <c r="P12" s="536">
        <v>5112</v>
      </c>
      <c r="Q12" s="535">
        <v>6592</v>
      </c>
      <c r="R12" s="535">
        <v>6722</v>
      </c>
      <c r="S12" s="536">
        <v>8308</v>
      </c>
      <c r="T12" s="535">
        <v>13465</v>
      </c>
      <c r="U12" s="535">
        <v>8676</v>
      </c>
      <c r="V12" s="537">
        <v>9581</v>
      </c>
      <c r="W12" s="537">
        <v>9452</v>
      </c>
      <c r="X12" s="537">
        <v>10075</v>
      </c>
      <c r="Y12" s="537">
        <v>9188</v>
      </c>
      <c r="Z12" s="534">
        <v>10173</v>
      </c>
      <c r="AA12" s="534">
        <v>12899</v>
      </c>
      <c r="AB12" s="534">
        <v>11816</v>
      </c>
      <c r="AC12" s="534">
        <v>13532</v>
      </c>
      <c r="AD12" s="534">
        <v>13926</v>
      </c>
      <c r="AE12" s="534">
        <v>16770</v>
      </c>
      <c r="AF12" s="534">
        <v>17237</v>
      </c>
      <c r="AG12" s="534">
        <v>12563</v>
      </c>
      <c r="AH12" s="534">
        <v>15053</v>
      </c>
      <c r="AI12" s="537">
        <v>14721</v>
      </c>
      <c r="AJ12" s="534">
        <v>15867</v>
      </c>
      <c r="AK12" s="534">
        <v>15315</v>
      </c>
      <c r="AL12" s="537">
        <v>13191</v>
      </c>
      <c r="AM12" s="537">
        <v>16460</v>
      </c>
      <c r="AN12" s="537">
        <v>18073</v>
      </c>
      <c r="AO12" s="537">
        <v>15467</v>
      </c>
      <c r="AP12" s="534">
        <v>17600</v>
      </c>
      <c r="AQ12" s="537">
        <v>18413</v>
      </c>
      <c r="AR12" s="537">
        <v>19060</v>
      </c>
      <c r="AS12" s="534">
        <v>20523</v>
      </c>
      <c r="AT12" s="537">
        <v>18620</v>
      </c>
      <c r="AU12" s="537">
        <v>21805</v>
      </c>
      <c r="AV12" s="537">
        <v>20276</v>
      </c>
      <c r="AW12" s="534">
        <v>20714</v>
      </c>
      <c r="AX12" s="534">
        <v>19114</v>
      </c>
      <c r="AY12" s="534">
        <v>27632</v>
      </c>
      <c r="AZ12" s="567">
        <v>22790</v>
      </c>
      <c r="BA12" s="475">
        <v>22945</v>
      </c>
      <c r="BB12" s="494">
        <v>23348</v>
      </c>
      <c r="BC12" s="493">
        <v>22954</v>
      </c>
      <c r="BD12" s="580">
        <v>24114</v>
      </c>
      <c r="BE12" s="657">
        <v>24531</v>
      </c>
      <c r="BF12" s="493">
        <v>27454</v>
      </c>
      <c r="BG12" s="657">
        <v>24720</v>
      </c>
      <c r="BH12" s="657">
        <v>27841</v>
      </c>
      <c r="BI12" s="493">
        <v>22664</v>
      </c>
      <c r="BJ12" s="493">
        <v>24141</v>
      </c>
      <c r="BK12" s="493">
        <v>27077</v>
      </c>
      <c r="BL12" s="493">
        <v>25057</v>
      </c>
      <c r="BM12" s="493">
        <v>26209</v>
      </c>
      <c r="BN12" s="493">
        <v>24429</v>
      </c>
      <c r="BO12" s="493">
        <v>23453</v>
      </c>
      <c r="BP12" s="493">
        <v>28878</v>
      </c>
      <c r="BQ12" s="493">
        <v>28460</v>
      </c>
      <c r="BR12" s="493">
        <v>26714</v>
      </c>
      <c r="BS12" s="726">
        <v>26654</v>
      </c>
      <c r="BT12" s="493">
        <f t="shared" si="0"/>
        <v>25964.75</v>
      </c>
      <c r="BV12" s="476"/>
    </row>
    <row r="13" spans="1:76" x14ac:dyDescent="0.2">
      <c r="A13" s="484" t="s">
        <v>156</v>
      </c>
      <c r="B13" s="574"/>
      <c r="C13" s="534">
        <f t="shared" ref="C13:BJ13" si="5">(C4+C5)/C12</f>
        <v>160.06043209876543</v>
      </c>
      <c r="D13" s="534">
        <f t="shared" si="5"/>
        <v>216.84230769230768</v>
      </c>
      <c r="E13" s="534">
        <f t="shared" si="5"/>
        <v>174.85781671159029</v>
      </c>
      <c r="F13" s="534">
        <f t="shared" si="5"/>
        <v>197.97250423011843</v>
      </c>
      <c r="G13" s="534">
        <f t="shared" si="5"/>
        <v>189.23319277108433</v>
      </c>
      <c r="H13" s="534">
        <f t="shared" si="5"/>
        <v>193.91844660194175</v>
      </c>
      <c r="I13" s="534">
        <f t="shared" si="5"/>
        <v>185.87949376375641</v>
      </c>
      <c r="J13" s="534">
        <f t="shared" si="5"/>
        <v>189.4487323943662</v>
      </c>
      <c r="K13" s="534">
        <f t="shared" si="5"/>
        <v>188.45159596808062</v>
      </c>
      <c r="L13" s="535">
        <f t="shared" si="5"/>
        <v>186.51868112947659</v>
      </c>
      <c r="M13" s="535">
        <f t="shared" si="5"/>
        <v>178.70971250000002</v>
      </c>
      <c r="N13" s="535">
        <f t="shared" si="5"/>
        <v>172.76873273273273</v>
      </c>
      <c r="O13" s="536">
        <f t="shared" si="5"/>
        <v>140.25981620718463</v>
      </c>
      <c r="P13" s="536">
        <f t="shared" si="5"/>
        <v>164.94408255086071</v>
      </c>
      <c r="Q13" s="535">
        <f t="shared" si="5"/>
        <v>153.92224514563105</v>
      </c>
      <c r="R13" s="535">
        <f t="shared" si="5"/>
        <v>169.92257810175539</v>
      </c>
      <c r="S13" s="536">
        <f t="shared" si="5"/>
        <v>213.98027563793931</v>
      </c>
      <c r="T13" s="535">
        <f t="shared" si="5"/>
        <v>159.56191904938728</v>
      </c>
      <c r="U13" s="535">
        <f t="shared" si="5"/>
        <v>181.61784347625633</v>
      </c>
      <c r="V13" s="537">
        <f t="shared" si="5"/>
        <v>180.17731447656823</v>
      </c>
      <c r="W13" s="537">
        <f t="shared" si="5"/>
        <v>177.78384786288615</v>
      </c>
      <c r="X13" s="537">
        <f t="shared" si="5"/>
        <v>176.34272555831265</v>
      </c>
      <c r="Y13" s="537">
        <f t="shared" si="5"/>
        <v>170.30919024814978</v>
      </c>
      <c r="Z13" s="534">
        <f t="shared" si="5"/>
        <v>171.62328713260592</v>
      </c>
      <c r="AA13" s="534">
        <f t="shared" si="5"/>
        <v>141.48174354601133</v>
      </c>
      <c r="AB13" s="534">
        <f t="shared" si="5"/>
        <v>173.46336238997969</v>
      </c>
      <c r="AC13" s="534">
        <f t="shared" si="5"/>
        <v>172.10864026011825</v>
      </c>
      <c r="AD13" s="534">
        <f t="shared" si="5"/>
        <v>176.15251759299153</v>
      </c>
      <c r="AE13" s="534">
        <f t="shared" si="5"/>
        <v>191.87838342276982</v>
      </c>
      <c r="AF13" s="534">
        <f t="shared" si="5"/>
        <v>189.28368393571967</v>
      </c>
      <c r="AG13" s="534">
        <f t="shared" si="5"/>
        <v>192.24749661705005</v>
      </c>
      <c r="AH13" s="534">
        <f t="shared" si="5"/>
        <v>183.15768086095792</v>
      </c>
      <c r="AI13" s="537">
        <f t="shared" si="5"/>
        <v>187.87734800624006</v>
      </c>
      <c r="AJ13" s="534">
        <f t="shared" si="5"/>
        <v>186.11463792777462</v>
      </c>
      <c r="AK13" s="534">
        <f t="shared" si="5"/>
        <v>184.10950701926217</v>
      </c>
      <c r="AL13" s="537">
        <f t="shared" si="5"/>
        <v>178.59016298991736</v>
      </c>
      <c r="AM13" s="537">
        <f t="shared" si="5"/>
        <v>155.99369198055894</v>
      </c>
      <c r="AN13" s="537">
        <f t="shared" si="5"/>
        <v>156.86244563713831</v>
      </c>
      <c r="AO13" s="537">
        <f t="shared" si="5"/>
        <v>171.03118962953386</v>
      </c>
      <c r="AP13" s="534">
        <f t="shared" si="5"/>
        <v>172.56497386363637</v>
      </c>
      <c r="AQ13" s="537">
        <f t="shared" si="5"/>
        <v>187.26686417205235</v>
      </c>
      <c r="AR13" s="537">
        <f t="shared" si="5"/>
        <v>191.05696222455401</v>
      </c>
      <c r="AS13" s="534">
        <f t="shared" si="5"/>
        <v>187.0449563903133</v>
      </c>
      <c r="AT13" s="537">
        <f t="shared" si="5"/>
        <v>187.97877658431793</v>
      </c>
      <c r="AU13" s="537">
        <f t="shared" si="5"/>
        <v>187.59348131174769</v>
      </c>
      <c r="AV13" s="537">
        <f t="shared" si="5"/>
        <v>183.42757595186427</v>
      </c>
      <c r="AW13" s="534">
        <f t="shared" si="5"/>
        <v>174.47945640601245</v>
      </c>
      <c r="AX13" s="534">
        <f t="shared" si="5"/>
        <v>177.46811970283562</v>
      </c>
      <c r="AY13" s="534">
        <f t="shared" si="5"/>
        <v>156.34203821656052</v>
      </c>
      <c r="AZ13" s="567">
        <f t="shared" si="5"/>
        <v>177.42578894251864</v>
      </c>
      <c r="BA13" s="477">
        <f t="shared" si="5"/>
        <v>180.55417040673959</v>
      </c>
      <c r="BB13" s="495">
        <f t="shared" si="5"/>
        <v>185.85066729482037</v>
      </c>
      <c r="BC13" s="496">
        <f t="shared" si="5"/>
        <v>191.56484534285963</v>
      </c>
      <c r="BD13" s="581">
        <f t="shared" si="5"/>
        <v>187.23663473500872</v>
      </c>
      <c r="BE13" s="658">
        <f t="shared" si="5"/>
        <v>190.88117157881862</v>
      </c>
      <c r="BF13" s="496">
        <f t="shared" si="5"/>
        <v>186.41271508985182</v>
      </c>
      <c r="BG13" s="658">
        <f t="shared" si="5"/>
        <v>200.03781998381876</v>
      </c>
      <c r="BH13" s="658">
        <f t="shared" si="5"/>
        <v>219.25758142087514</v>
      </c>
      <c r="BI13" s="496">
        <f t="shared" si="5"/>
        <v>204.66427683225214</v>
      </c>
      <c r="BJ13" s="496">
        <f t="shared" si="5"/>
        <v>189.69691355466975</v>
      </c>
      <c r="BK13" s="496">
        <f t="shared" ref="BK13:BL13" si="6">(BK4+BK5)/BK12</f>
        <v>165.8200465404131</v>
      </c>
      <c r="BL13" s="496">
        <f t="shared" si="6"/>
        <v>188.0830294988194</v>
      </c>
      <c r="BM13" s="496">
        <f t="shared" ref="BM13" si="7">(BM4+BM5)/BM12</f>
        <v>198.09966576980611</v>
      </c>
      <c r="BN13" s="496">
        <f t="shared" ref="BN13:BS13" si="8">(BN4+BN5)/BN12</f>
        <v>205.13150600255537</v>
      </c>
      <c r="BO13" s="496">
        <f t="shared" si="8"/>
        <v>216.13341662492013</v>
      </c>
      <c r="BP13" s="496">
        <f t="shared" si="8"/>
        <v>219.96620542064915</v>
      </c>
      <c r="BQ13" s="496">
        <f t="shared" si="8"/>
        <v>216.91603514151845</v>
      </c>
      <c r="BR13" s="496">
        <f t="shared" si="8"/>
        <v>214.06451000008104</v>
      </c>
      <c r="BS13" s="727">
        <f t="shared" si="8"/>
        <v>199.53387672279214</v>
      </c>
      <c r="BT13" s="496">
        <f t="shared" si="0"/>
        <v>203.11392196077932</v>
      </c>
      <c r="BV13" s="476"/>
    </row>
    <row r="14" spans="1:76" x14ac:dyDescent="0.2">
      <c r="A14" s="484" t="s">
        <v>157</v>
      </c>
      <c r="B14" s="574"/>
      <c r="C14" s="530">
        <f t="shared" ref="C14:BJ14" si="9">(C4+C5-C10-C11)/C12</f>
        <v>157.03635802469137</v>
      </c>
      <c r="D14" s="530">
        <f t="shared" si="9"/>
        <v>194.27984629044167</v>
      </c>
      <c r="E14" s="530">
        <f t="shared" si="9"/>
        <v>137.89439353099732</v>
      </c>
      <c r="F14" s="530">
        <f t="shared" si="9"/>
        <v>161.8838578680203</v>
      </c>
      <c r="G14" s="530">
        <f t="shared" si="9"/>
        <v>147.46227710843374</v>
      </c>
      <c r="H14" s="530">
        <f t="shared" si="9"/>
        <v>126.32829126213593</v>
      </c>
      <c r="I14" s="530">
        <f t="shared" si="9"/>
        <v>131.20501100513573</v>
      </c>
      <c r="J14" s="530">
        <f t="shared" si="9"/>
        <v>153.3472253521127</v>
      </c>
      <c r="K14" s="530">
        <f t="shared" si="9"/>
        <v>129.0047333053339</v>
      </c>
      <c r="L14" s="540">
        <f t="shared" si="9"/>
        <v>146.78044421487601</v>
      </c>
      <c r="M14" s="540">
        <f t="shared" si="9"/>
        <v>121.90965312500002</v>
      </c>
      <c r="N14" s="540">
        <f t="shared" si="9"/>
        <v>116.99885885885887</v>
      </c>
      <c r="O14" s="541">
        <f t="shared" si="9"/>
        <v>102.30142021720971</v>
      </c>
      <c r="P14" s="541">
        <f t="shared" si="9"/>
        <v>124.99084311424102</v>
      </c>
      <c r="Q14" s="540">
        <f t="shared" si="9"/>
        <v>99.095726638349504</v>
      </c>
      <c r="R14" s="540">
        <f t="shared" si="9"/>
        <v>128.19972924724783</v>
      </c>
      <c r="S14" s="541">
        <f t="shared" si="9"/>
        <v>162.40137217140108</v>
      </c>
      <c r="T14" s="540">
        <f t="shared" si="9"/>
        <v>121.67028369847752</v>
      </c>
      <c r="U14" s="540">
        <f t="shared" si="9"/>
        <v>116.61145689257721</v>
      </c>
      <c r="V14" s="542">
        <f t="shared" si="9"/>
        <v>115.94092370316251</v>
      </c>
      <c r="W14" s="542">
        <f t="shared" si="9"/>
        <v>117.35328713499786</v>
      </c>
      <c r="X14" s="542">
        <f t="shared" si="9"/>
        <v>119.60565955334985</v>
      </c>
      <c r="Y14" s="542">
        <f t="shared" si="9"/>
        <v>112.40499673487157</v>
      </c>
      <c r="Z14" s="539">
        <f t="shared" si="9"/>
        <v>115.89773813034502</v>
      </c>
      <c r="AA14" s="539">
        <f t="shared" si="9"/>
        <v>88.535999689898432</v>
      </c>
      <c r="AB14" s="539">
        <f t="shared" si="9"/>
        <v>118.16904451591064</v>
      </c>
      <c r="AC14" s="539">
        <f t="shared" si="9"/>
        <v>120.56126364086137</v>
      </c>
      <c r="AD14" s="539">
        <f t="shared" si="9"/>
        <v>128.77358825219014</v>
      </c>
      <c r="AE14" s="539">
        <f t="shared" si="9"/>
        <v>138.00675189820993</v>
      </c>
      <c r="AF14" s="539">
        <f t="shared" si="9"/>
        <v>122.19038637814005</v>
      </c>
      <c r="AG14" s="539">
        <f t="shared" si="9"/>
        <v>125.65656929077447</v>
      </c>
      <c r="AH14" s="539">
        <f t="shared" si="9"/>
        <v>115.20157908722513</v>
      </c>
      <c r="AI14" s="538">
        <f t="shared" si="9"/>
        <v>125.9015100671547</v>
      </c>
      <c r="AJ14" s="539">
        <f t="shared" si="9"/>
        <v>138.65422512132096</v>
      </c>
      <c r="AK14" s="539">
        <f t="shared" si="9"/>
        <v>121.89124649036893</v>
      </c>
      <c r="AL14" s="538">
        <f t="shared" si="9"/>
        <v>110.95503600940032</v>
      </c>
      <c r="AM14" s="538">
        <f t="shared" si="9"/>
        <v>107.94070716889428</v>
      </c>
      <c r="AN14" s="538">
        <f t="shared" si="9"/>
        <v>110.52142588391527</v>
      </c>
      <c r="AO14" s="538">
        <f t="shared" si="9"/>
        <v>119.79212904894293</v>
      </c>
      <c r="AP14" s="539">
        <f t="shared" si="9"/>
        <v>120.84084147727273</v>
      </c>
      <c r="AQ14" s="538">
        <f t="shared" si="9"/>
        <v>137.02491229022974</v>
      </c>
      <c r="AR14" s="538">
        <f t="shared" si="9"/>
        <v>142.20365687303251</v>
      </c>
      <c r="AS14" s="539">
        <f t="shared" si="9"/>
        <v>116.15056811430671</v>
      </c>
      <c r="AT14" s="538">
        <f t="shared" si="9"/>
        <v>136.24664500537057</v>
      </c>
      <c r="AU14" s="538">
        <f t="shared" si="9"/>
        <v>131.12816280553972</v>
      </c>
      <c r="AV14" s="538">
        <f t="shared" si="9"/>
        <v>122.63134395344248</v>
      </c>
      <c r="AW14" s="539">
        <f t="shared" si="9"/>
        <v>109.11644400063179</v>
      </c>
      <c r="AX14" s="539">
        <f t="shared" si="9"/>
        <v>114.5966307418646</v>
      </c>
      <c r="AY14" s="539">
        <f t="shared" si="9"/>
        <v>106.50320063694268</v>
      </c>
      <c r="AZ14" s="568">
        <f t="shared" si="9"/>
        <v>124.09424659858936</v>
      </c>
      <c r="BA14" s="477">
        <f t="shared" si="9"/>
        <v>107.36195859588757</v>
      </c>
      <c r="BB14" s="495">
        <f t="shared" si="9"/>
        <v>131.59244862610487</v>
      </c>
      <c r="BC14" s="496">
        <f t="shared" si="9"/>
        <v>127.61657401760041</v>
      </c>
      <c r="BD14" s="581">
        <f t="shared" si="9"/>
        <v>129.38901053330014</v>
      </c>
      <c r="BE14" s="658">
        <f t="shared" si="9"/>
        <v>134.03341282458928</v>
      </c>
      <c r="BF14" s="496">
        <f t="shared" si="9"/>
        <v>131.3949635321334</v>
      </c>
      <c r="BG14" s="658">
        <f t="shared" si="9"/>
        <v>123.2038001618123</v>
      </c>
      <c r="BH14" s="658">
        <f t="shared" si="9"/>
        <v>102.39378234756599</v>
      </c>
      <c r="BI14" s="496">
        <f t="shared" si="9"/>
        <v>108.87429851448103</v>
      </c>
      <c r="BJ14" s="496">
        <f t="shared" si="9"/>
        <v>114.69957090355811</v>
      </c>
      <c r="BK14" s="496">
        <f t="shared" ref="BK14:BL14" si="10">(BK4+BK5-BK10-BK11)/BK12</f>
        <v>111.03866316032536</v>
      </c>
      <c r="BL14" s="496">
        <f t="shared" si="10"/>
        <v>116.30304821526182</v>
      </c>
      <c r="BM14" s="496">
        <f t="shared" ref="BM14" si="11">(BM4+BM5-BM10-BM11)/BM12</f>
        <v>116.16671914031157</v>
      </c>
      <c r="BN14" s="496">
        <f t="shared" ref="BN14:BS14" si="12">(BN4+BN5-BN10-BN11)/BN12</f>
        <v>101.26360721517483</v>
      </c>
      <c r="BO14" s="496">
        <f t="shared" si="12"/>
        <v>118.50397916518946</v>
      </c>
      <c r="BP14" s="496">
        <f t="shared" si="12"/>
        <v>143.55049113340289</v>
      </c>
      <c r="BQ14" s="496">
        <f t="shared" si="12"/>
        <v>134.84651205783385</v>
      </c>
      <c r="BR14" s="496">
        <f t="shared" si="12"/>
        <v>121.94463251892594</v>
      </c>
      <c r="BS14" s="727">
        <f t="shared" si="12"/>
        <v>127.74247782836888</v>
      </c>
      <c r="BT14" s="496">
        <f t="shared" si="0"/>
        <v>118.1106485167</v>
      </c>
    </row>
    <row r="15" spans="1:76" x14ac:dyDescent="0.2">
      <c r="A15" s="589" t="s">
        <v>10</v>
      </c>
      <c r="B15" s="574"/>
      <c r="C15" s="530">
        <f t="shared" ref="C15:BJ15" si="13">(C6+C7)/C12</f>
        <v>47.995679012345683</v>
      </c>
      <c r="D15" s="530">
        <f t="shared" si="13"/>
        <v>70.799422894991352</v>
      </c>
      <c r="E15" s="530">
        <f t="shared" si="13"/>
        <v>69.096469002695414</v>
      </c>
      <c r="F15" s="530">
        <f t="shared" si="13"/>
        <v>71.321573604060916</v>
      </c>
      <c r="G15" s="530">
        <f t="shared" si="13"/>
        <v>85.808373493975907</v>
      </c>
      <c r="H15" s="530">
        <f t="shared" si="13"/>
        <v>96.366873786407766</v>
      </c>
      <c r="I15" s="530">
        <f t="shared" si="13"/>
        <v>114.37371239911958</v>
      </c>
      <c r="J15" s="530">
        <f t="shared" si="13"/>
        <v>94.039981220657268</v>
      </c>
      <c r="K15" s="530">
        <f t="shared" si="13"/>
        <v>120.9139689206216</v>
      </c>
      <c r="L15" s="540">
        <f t="shared" si="13"/>
        <v>102.92339876033057</v>
      </c>
      <c r="M15" s="540">
        <f t="shared" si="13"/>
        <v>102.04296249999999</v>
      </c>
      <c r="N15" s="540">
        <f t="shared" si="13"/>
        <v>109.99433033033033</v>
      </c>
      <c r="O15" s="541">
        <f t="shared" si="13"/>
        <v>91.633038847117788</v>
      </c>
      <c r="P15" s="541">
        <f t="shared" si="13"/>
        <v>90.047482394366199</v>
      </c>
      <c r="Q15" s="540">
        <f t="shared" si="13"/>
        <v>82.675236650485431</v>
      </c>
      <c r="R15" s="540">
        <f t="shared" si="13"/>
        <v>85.687060398690875</v>
      </c>
      <c r="S15" s="541">
        <f t="shared" si="13"/>
        <v>100.86062590274435</v>
      </c>
      <c r="T15" s="540">
        <f t="shared" si="13"/>
        <v>80.53865057556628</v>
      </c>
      <c r="U15" s="540">
        <f t="shared" si="13"/>
        <v>112.770418395574</v>
      </c>
      <c r="V15" s="542">
        <f t="shared" si="13"/>
        <v>122.96533451623004</v>
      </c>
      <c r="W15" s="542">
        <f t="shared" si="13"/>
        <v>128.01092678798139</v>
      </c>
      <c r="X15" s="542">
        <f t="shared" si="13"/>
        <v>119.10151761786601</v>
      </c>
      <c r="Y15" s="542">
        <f t="shared" si="13"/>
        <v>127.66118088811496</v>
      </c>
      <c r="Z15" s="539">
        <f t="shared" si="13"/>
        <v>121.10339034699696</v>
      </c>
      <c r="AA15" s="539">
        <f t="shared" si="13"/>
        <v>95.832552135824471</v>
      </c>
      <c r="AB15" s="539">
        <f t="shared" si="13"/>
        <v>112.48492129316182</v>
      </c>
      <c r="AC15" s="539">
        <f t="shared" si="13"/>
        <v>103.76741354516339</v>
      </c>
      <c r="AD15" s="539">
        <f t="shared" si="13"/>
        <v>100.93364857101824</v>
      </c>
      <c r="AE15" s="539">
        <f t="shared" si="13"/>
        <v>107.69432084142564</v>
      </c>
      <c r="AF15" s="539">
        <f t="shared" si="13"/>
        <v>125.80763589951849</v>
      </c>
      <c r="AG15" s="539">
        <f t="shared" si="13"/>
        <v>129.69750298495583</v>
      </c>
      <c r="AH15" s="539">
        <f t="shared" si="13"/>
        <v>121.54547532053411</v>
      </c>
      <c r="AI15" s="538">
        <f t="shared" si="13"/>
        <v>123.44119282809858</v>
      </c>
      <c r="AJ15" s="539">
        <f t="shared" si="13"/>
        <v>101.37995840423521</v>
      </c>
      <c r="AK15" s="539">
        <f t="shared" si="13"/>
        <v>112.69675285667647</v>
      </c>
      <c r="AL15" s="538">
        <f t="shared" si="13"/>
        <v>132.24947009324541</v>
      </c>
      <c r="AM15" s="538">
        <f t="shared" si="13"/>
        <v>100.39690279465371</v>
      </c>
      <c r="AN15" s="538">
        <f t="shared" si="13"/>
        <v>103.39693133403419</v>
      </c>
      <c r="AO15" s="538">
        <f t="shared" si="13"/>
        <v>111.03960819809919</v>
      </c>
      <c r="AP15" s="539">
        <f t="shared" si="13"/>
        <v>109.41886988636364</v>
      </c>
      <c r="AQ15" s="538">
        <f t="shared" si="13"/>
        <v>115.30851952424918</v>
      </c>
      <c r="AR15" s="538">
        <f t="shared" si="13"/>
        <v>116.67274711437565</v>
      </c>
      <c r="AS15" s="539">
        <f t="shared" si="13"/>
        <v>129.10925493678019</v>
      </c>
      <c r="AT15" s="538">
        <f t="shared" si="13"/>
        <v>117.3999060150376</v>
      </c>
      <c r="AU15" s="538">
        <f t="shared" si="13"/>
        <v>115.49305111938362</v>
      </c>
      <c r="AV15" s="538">
        <f t="shared" si="13"/>
        <v>116.59543549023475</v>
      </c>
      <c r="AW15" s="539">
        <f t="shared" si="13"/>
        <v>128.7315048149575</v>
      </c>
      <c r="AX15" s="539">
        <f t="shared" si="13"/>
        <v>124.38783875693211</v>
      </c>
      <c r="AY15" s="539">
        <f t="shared" si="13"/>
        <v>102.67339787203242</v>
      </c>
      <c r="AZ15" s="568">
        <f t="shared" si="13"/>
        <v>102.92755989469065</v>
      </c>
      <c r="BA15" s="477">
        <f t="shared" si="13"/>
        <v>115.73732927199173</v>
      </c>
      <c r="BB15" s="495">
        <f t="shared" si="13"/>
        <v>106.8342979995921</v>
      </c>
      <c r="BC15" s="496">
        <f t="shared" si="13"/>
        <v>121.3008643373704</v>
      </c>
      <c r="BD15" s="581">
        <f t="shared" si="13"/>
        <v>119.74458364435596</v>
      </c>
      <c r="BE15" s="658">
        <f t="shared" si="13"/>
        <v>117.64626921038685</v>
      </c>
      <c r="BF15" s="496">
        <f t="shared" si="13"/>
        <v>112.85450168816877</v>
      </c>
      <c r="BG15" s="658">
        <f t="shared" si="13"/>
        <v>139.95085558252427</v>
      </c>
      <c r="BH15" s="658">
        <f t="shared" si="13"/>
        <v>129.77705739138565</v>
      </c>
      <c r="BI15" s="496">
        <f t="shared" si="13"/>
        <v>146.59563127937275</v>
      </c>
      <c r="BJ15" s="496">
        <f t="shared" si="13"/>
        <v>129.43673035324315</v>
      </c>
      <c r="BK15" s="496">
        <f t="shared" ref="BK15:BL15" si="14">(BK6+BK7)/BK12</f>
        <v>109.16975607678552</v>
      </c>
      <c r="BL15" s="496">
        <f t="shared" si="14"/>
        <v>124.48367325563007</v>
      </c>
      <c r="BM15" s="496">
        <f t="shared" ref="BM15" si="15">(BM6+BM7)/BM12</f>
        <v>122.39986725756521</v>
      </c>
      <c r="BN15" s="496">
        <f t="shared" ref="BN15:BS15" si="16">(BN6+BN7)/BN12</f>
        <v>127.13161406456679</v>
      </c>
      <c r="BO15" s="496">
        <f t="shared" si="16"/>
        <v>142.38292566660286</v>
      </c>
      <c r="BP15" s="496">
        <f t="shared" si="16"/>
        <v>125.0362043097286</v>
      </c>
      <c r="BQ15" s="496">
        <f t="shared" si="16"/>
        <v>130.62308107614865</v>
      </c>
      <c r="BR15" s="496">
        <f t="shared" si="16"/>
        <v>137.67916250940792</v>
      </c>
      <c r="BS15" s="727">
        <f t="shared" si="16"/>
        <v>119.13912495367067</v>
      </c>
      <c r="BT15" s="496">
        <f t="shared" si="0"/>
        <v>128.65456901617566</v>
      </c>
    </row>
    <row r="16" spans="1:76" x14ac:dyDescent="0.2">
      <c r="A16" s="589" t="s">
        <v>11</v>
      </c>
      <c r="B16" s="574"/>
      <c r="C16" s="543">
        <f t="shared" ref="C16:BJ16" si="17">(C7+C6)/(C4+C5)</f>
        <v>0.29985973661954068</v>
      </c>
      <c r="D16" s="543">
        <f t="shared" si="17"/>
        <v>0.32650188816221909</v>
      </c>
      <c r="E16" s="543">
        <f t="shared" si="17"/>
        <v>0.39515802211269074</v>
      </c>
      <c r="F16" s="543">
        <f t="shared" si="17"/>
        <v>0.36025999611116932</v>
      </c>
      <c r="G16" s="543">
        <f t="shared" si="17"/>
        <v>0.45345307679598484</v>
      </c>
      <c r="H16" s="543">
        <f t="shared" si="17"/>
        <v>0.496945367885609</v>
      </c>
      <c r="I16" s="543">
        <f t="shared" si="17"/>
        <v>0.61531108183715455</v>
      </c>
      <c r="J16" s="543">
        <f t="shared" si="17"/>
        <v>0.49638749244781866</v>
      </c>
      <c r="K16" s="543">
        <f t="shared" si="17"/>
        <v>0.64161817414961897</v>
      </c>
      <c r="L16" s="544">
        <f t="shared" si="17"/>
        <v>0.55181281648074565</v>
      </c>
      <c r="M16" s="544">
        <f t="shared" si="17"/>
        <v>0.57099841453776601</v>
      </c>
      <c r="N16" s="544">
        <f t="shared" si="17"/>
        <v>0.63665646318357705</v>
      </c>
      <c r="O16" s="545">
        <f t="shared" si="17"/>
        <v>0.65330927506536973</v>
      </c>
      <c r="P16" s="545">
        <f t="shared" si="17"/>
        <v>0.54592732883642514</v>
      </c>
      <c r="Q16" s="544">
        <f t="shared" si="17"/>
        <v>0.53712338052413133</v>
      </c>
      <c r="R16" s="544">
        <f t="shared" si="17"/>
        <v>0.50427118841957863</v>
      </c>
      <c r="S16" s="545">
        <f t="shared" si="17"/>
        <v>0.47135478072475889</v>
      </c>
      <c r="T16" s="544">
        <f t="shared" si="17"/>
        <v>0.50474857068269607</v>
      </c>
      <c r="U16" s="544">
        <f t="shared" si="17"/>
        <v>0.62092147025364808</v>
      </c>
      <c r="V16" s="546">
        <f t="shared" si="17"/>
        <v>0.68246846099052882</v>
      </c>
      <c r="W16" s="546">
        <f t="shared" si="17"/>
        <v>0.72003687807853278</v>
      </c>
      <c r="X16" s="546">
        <f t="shared" si="17"/>
        <v>0.67539796292011922</v>
      </c>
      <c r="Y16" s="546">
        <f t="shared" si="17"/>
        <v>0.74958480339261579</v>
      </c>
      <c r="Z16" s="543">
        <f t="shared" si="17"/>
        <v>0.70563495415063104</v>
      </c>
      <c r="AA16" s="543">
        <f t="shared" si="17"/>
        <v>0.67734924474307701</v>
      </c>
      <c r="AB16" s="543">
        <f t="shared" si="17"/>
        <v>0.64846501153525227</v>
      </c>
      <c r="AC16" s="543">
        <f t="shared" si="17"/>
        <v>0.60291809515392947</v>
      </c>
      <c r="AD16" s="543">
        <f t="shared" si="17"/>
        <v>0.57299009943320856</v>
      </c>
      <c r="AE16" s="543">
        <f t="shared" si="17"/>
        <v>0.56126343635145393</v>
      </c>
      <c r="AF16" s="543">
        <f t="shared" si="17"/>
        <v>0.664651243486166</v>
      </c>
      <c r="AG16" s="543">
        <f t="shared" si="17"/>
        <v>0.67463818914276152</v>
      </c>
      <c r="AH16" s="543">
        <f t="shared" si="17"/>
        <v>0.66361112866898531</v>
      </c>
      <c r="AI16" s="546">
        <f t="shared" si="17"/>
        <v>0.65703073913944465</v>
      </c>
      <c r="AJ16" s="543">
        <f t="shared" si="17"/>
        <v>0.54471781227426963</v>
      </c>
      <c r="AK16" s="543">
        <f t="shared" si="17"/>
        <v>0.61211805235503536</v>
      </c>
      <c r="AL16" s="546">
        <f t="shared" si="17"/>
        <v>0.74051934260629904</v>
      </c>
      <c r="AM16" s="546">
        <f t="shared" si="17"/>
        <v>0.64359591416790052</v>
      </c>
      <c r="AN16" s="546">
        <f t="shared" si="17"/>
        <v>0.6591566956262872</v>
      </c>
      <c r="AO16" s="546">
        <f t="shared" si="17"/>
        <v>0.64923601618289128</v>
      </c>
      <c r="AP16" s="543">
        <f t="shared" si="17"/>
        <v>0.63407345903710566</v>
      </c>
      <c r="AQ16" s="546">
        <f t="shared" si="17"/>
        <v>0.61574438186944225</v>
      </c>
      <c r="AR16" s="546">
        <f t="shared" si="17"/>
        <v>0.61066995808950031</v>
      </c>
      <c r="AS16" s="543">
        <f t="shared" si="17"/>
        <v>0.6902578793269537</v>
      </c>
      <c r="AT16" s="546">
        <f t="shared" si="17"/>
        <v>0.62453808960916302</v>
      </c>
      <c r="AU16" s="546">
        <f t="shared" si="17"/>
        <v>0.61565599354411615</v>
      </c>
      <c r="AV16" s="546">
        <f t="shared" si="17"/>
        <v>0.63564834723014685</v>
      </c>
      <c r="AW16" s="543">
        <f t="shared" si="17"/>
        <v>0.7378032203138013</v>
      </c>
      <c r="AX16" s="543">
        <f t="shared" si="17"/>
        <v>0.70090244357812181</v>
      </c>
      <c r="AY16" s="543">
        <f t="shared" si="17"/>
        <v>0.6567229073079639</v>
      </c>
      <c r="AZ16" s="569">
        <f t="shared" si="17"/>
        <v>0.58011611788879525</v>
      </c>
      <c r="BA16" s="478">
        <f t="shared" si="17"/>
        <v>0.64101166431806533</v>
      </c>
      <c r="BB16" s="497">
        <f t="shared" si="17"/>
        <v>0.57483946414955678</v>
      </c>
      <c r="BC16" s="479">
        <f t="shared" si="17"/>
        <v>0.63321046259958658</v>
      </c>
      <c r="BD16" s="582">
        <f t="shared" si="17"/>
        <v>0.63953608124728079</v>
      </c>
      <c r="BE16" s="659">
        <f t="shared" si="17"/>
        <v>0.61633249752874852</v>
      </c>
      <c r="BF16" s="479">
        <f t="shared" si="17"/>
        <v>0.60540130877752818</v>
      </c>
      <c r="BG16" s="659">
        <f t="shared" si="17"/>
        <v>0.69962197945291049</v>
      </c>
      <c r="BH16" s="659">
        <f t="shared" si="17"/>
        <v>0.59189313569172575</v>
      </c>
      <c r="BI16" s="479">
        <f t="shared" si="17"/>
        <v>0.71627366313431495</v>
      </c>
      <c r="BJ16" s="479">
        <f t="shared" si="17"/>
        <v>0.68233440348485219</v>
      </c>
      <c r="BK16" s="479">
        <f t="shared" ref="BK16:BL16" si="18">(BK7+BK6)/(BK4+BK5)</f>
        <v>0.65836283582382804</v>
      </c>
      <c r="BL16" s="479">
        <f t="shared" si="18"/>
        <v>0.66185489242351569</v>
      </c>
      <c r="BM16" s="479">
        <f t="shared" ref="BM16" si="19">(BM7+BM6)/(BM4+BM5)</f>
        <v>0.61787013512579636</v>
      </c>
      <c r="BN16" s="479">
        <f>(BN7+BN6)/(BN4+BN5)</f>
        <v>0.61975664558804089</v>
      </c>
      <c r="BO16" s="479">
        <f t="shared" ref="BO16:BQ16" si="20">(BO7+BO6)/(BO4+BO5)</f>
        <v>0.65877330720078087</v>
      </c>
      <c r="BP16" s="479">
        <f t="shared" si="20"/>
        <v>0.56843370130705961</v>
      </c>
      <c r="BQ16" s="479">
        <f t="shared" si="20"/>
        <v>0.60218268783554296</v>
      </c>
      <c r="BR16" s="479">
        <f t="shared" ref="BR16:BS16" si="21">(BR7+BR6)/(BR4+BR5)</f>
        <v>0.64316669077632627</v>
      </c>
      <c r="BS16" s="728">
        <f t="shared" si="21"/>
        <v>0.59708720599453868</v>
      </c>
      <c r="BT16" s="479">
        <f t="shared" si="0"/>
        <v>0.63483244203219347</v>
      </c>
    </row>
    <row r="17" spans="1:73" x14ac:dyDescent="0.2">
      <c r="A17" s="589" t="s">
        <v>12</v>
      </c>
      <c r="B17" s="574"/>
      <c r="C17" s="543">
        <f t="shared" ref="C17:BJ17" si="22">(C6+C7)/(C4+C5-C10-C11-C8)</f>
        <v>0.30563418316667251</v>
      </c>
      <c r="D17" s="543">
        <f t="shared" si="22"/>
        <v>0.36441980085339709</v>
      </c>
      <c r="E17" s="543">
        <f t="shared" si="22"/>
        <v>0.50108251128544401</v>
      </c>
      <c r="F17" s="543">
        <f t="shared" si="22"/>
        <v>0.44057248538151061</v>
      </c>
      <c r="G17" s="543">
        <f t="shared" si="22"/>
        <v>0.58190050483811706</v>
      </c>
      <c r="H17" s="543">
        <f t="shared" si="22"/>
        <v>0.7628289183967738</v>
      </c>
      <c r="I17" s="543">
        <f t="shared" si="22"/>
        <v>0.87171756263670974</v>
      </c>
      <c r="J17" s="543">
        <f t="shared" si="22"/>
        <v>0.61324866494796126</v>
      </c>
      <c r="K17" s="543">
        <f t="shared" si="22"/>
        <v>0.93728319746560973</v>
      </c>
      <c r="L17" s="544">
        <f t="shared" si="22"/>
        <v>0.70120648095095084</v>
      </c>
      <c r="M17" s="544">
        <f t="shared" si="22"/>
        <v>0.83703759205491524</v>
      </c>
      <c r="N17" s="544">
        <f t="shared" si="22"/>
        <v>0.94805935473250436</v>
      </c>
      <c r="O17" s="545">
        <f t="shared" si="22"/>
        <v>0.91673844046873987</v>
      </c>
      <c r="P17" s="545">
        <f t="shared" si="22"/>
        <v>0.72753705905477417</v>
      </c>
      <c r="Q17" s="544">
        <f t="shared" si="22"/>
        <v>0.83555479429960744</v>
      </c>
      <c r="R17" s="544">
        <f t="shared" si="22"/>
        <v>0.67913211207989743</v>
      </c>
      <c r="S17" s="545">
        <f t="shared" si="22"/>
        <v>0.62753482819836226</v>
      </c>
      <c r="T17" s="544">
        <f t="shared" si="22"/>
        <v>0.66594141097131965</v>
      </c>
      <c r="U17" s="544">
        <f t="shared" si="22"/>
        <v>1.0011076997415713</v>
      </c>
      <c r="V17" s="546">
        <f t="shared" si="22"/>
        <v>1.0904086297607247</v>
      </c>
      <c r="W17" s="546">
        <f t="shared" si="22"/>
        <v>1.0946781840458244</v>
      </c>
      <c r="X17" s="546">
        <f t="shared" si="22"/>
        <v>1.0166058351274525</v>
      </c>
      <c r="Y17" s="546">
        <f t="shared" si="22"/>
        <v>1.1968653896323593</v>
      </c>
      <c r="Z17" s="543">
        <f t="shared" si="22"/>
        <v>1.1222224969110264</v>
      </c>
      <c r="AA17" s="543">
        <f t="shared" si="22"/>
        <v>1.1154429860674671</v>
      </c>
      <c r="AB17" s="543">
        <f t="shared" si="22"/>
        <v>0.9660835100241566</v>
      </c>
      <c r="AC17" s="543">
        <f t="shared" si="22"/>
        <v>0.88731934762267295</v>
      </c>
      <c r="AD17" s="543">
        <f t="shared" si="22"/>
        <v>0.8095001305760563</v>
      </c>
      <c r="AE17" s="543">
        <f t="shared" si="22"/>
        <v>0.79882012891766518</v>
      </c>
      <c r="AF17" s="543">
        <f t="shared" si="22"/>
        <v>1.0609796882030875</v>
      </c>
      <c r="AG17" s="543">
        <f t="shared" si="22"/>
        <v>1.0547488671071943</v>
      </c>
      <c r="AH17" s="543">
        <f t="shared" si="22"/>
        <v>1.1012638931769763</v>
      </c>
      <c r="AI17" s="546">
        <f t="shared" si="22"/>
        <v>1.0291044393573163</v>
      </c>
      <c r="AJ17" s="543">
        <f t="shared" si="22"/>
        <v>0.7496454169317941</v>
      </c>
      <c r="AK17" s="543">
        <f t="shared" si="22"/>
        <v>0.96399682495294392</v>
      </c>
      <c r="AL17" s="546">
        <f t="shared" si="22"/>
        <v>1.221489997679208</v>
      </c>
      <c r="AM17" s="546">
        <f t="shared" si="22"/>
        <v>0.96722349630113924</v>
      </c>
      <c r="AN17" s="546">
        <f t="shared" si="22"/>
        <v>0.95722347991083734</v>
      </c>
      <c r="AO17" s="546">
        <f t="shared" si="22"/>
        <v>0.96381720160735851</v>
      </c>
      <c r="AP17" s="543">
        <f t="shared" si="22"/>
        <v>0.93544485046983128</v>
      </c>
      <c r="AQ17" s="546">
        <f t="shared" si="22"/>
        <v>0.87488327888765538</v>
      </c>
      <c r="AR17" s="546">
        <f t="shared" si="22"/>
        <v>0.84098568742924018</v>
      </c>
      <c r="AS17" s="543">
        <f t="shared" si="22"/>
        <v>1.1356648438180421</v>
      </c>
      <c r="AT17" s="546">
        <f t="shared" si="22"/>
        <v>0.87113330445424597</v>
      </c>
      <c r="AU17" s="546">
        <f t="shared" si="22"/>
        <v>0.90198942137872862</v>
      </c>
      <c r="AV17" s="546">
        <f t="shared" si="22"/>
        <v>0.99930225629680736</v>
      </c>
      <c r="AW17" s="543">
        <f t="shared" si="22"/>
        <v>1.2224263281523142</v>
      </c>
      <c r="AX17" s="543">
        <f t="shared" si="22"/>
        <v>1.1396728637512277</v>
      </c>
      <c r="AY17" s="543">
        <f t="shared" si="22"/>
        <v>1.0186605885025166</v>
      </c>
      <c r="AZ17" s="569">
        <f t="shared" si="22"/>
        <v>0.85182902112262371</v>
      </c>
      <c r="BA17" s="478">
        <f t="shared" si="22"/>
        <v>1.1129803273526038</v>
      </c>
      <c r="BB17" s="497">
        <f t="shared" si="22"/>
        <v>0.83231404529052455</v>
      </c>
      <c r="BC17" s="479">
        <f t="shared" si="22"/>
        <v>0.98224738702686787</v>
      </c>
      <c r="BD17" s="582">
        <f t="shared" si="22"/>
        <v>0.96246661031658476</v>
      </c>
      <c r="BE17" s="659">
        <f t="shared" si="22"/>
        <v>0.91080381560938939</v>
      </c>
      <c r="BF17" s="479">
        <f t="shared" si="22"/>
        <v>0.87668506358892506</v>
      </c>
      <c r="BG17" s="659">
        <f t="shared" si="22"/>
        <v>1.1475897968240865</v>
      </c>
      <c r="BH17" s="659">
        <f t="shared" si="22"/>
        <v>1.3072295120096813</v>
      </c>
      <c r="BI17" s="479">
        <f t="shared" si="22"/>
        <v>1.4366627184778911</v>
      </c>
      <c r="BJ17" s="479">
        <f t="shared" si="22"/>
        <v>1.1681431259345376</v>
      </c>
      <c r="BK17" s="479">
        <f t="shared" ref="BK17:BL17" si="23">(BK6+BK7)/(BK4+BK5-BK10-BK11-BK8)</f>
        <v>1.1921880493154402</v>
      </c>
      <c r="BL17" s="479">
        <f t="shared" si="23"/>
        <v>1.1436501951440274</v>
      </c>
      <c r="BM17" s="479">
        <f t="shared" ref="BM17:BQ17" si="24">(BM6+BM7)/(BM4+BM5-BM10-BM11-BM8)</f>
        <v>1.102016703990319</v>
      </c>
      <c r="BN17" s="479">
        <f t="shared" si="24"/>
        <v>1.4320206614114019</v>
      </c>
      <c r="BO17" s="479">
        <f t="shared" si="24"/>
        <v>1.3153820536734464</v>
      </c>
      <c r="BP17" s="479">
        <f t="shared" si="24"/>
        <v>0.93222316489595825</v>
      </c>
      <c r="BQ17" s="479">
        <f t="shared" si="24"/>
        <v>1.0373909460430621</v>
      </c>
      <c r="BR17" s="479">
        <f t="shared" ref="BR17:BS17" si="25">(BR6+BR7)/(BR4+BR5-BR10-BR11-BR8)</f>
        <v>1.1978146197736512</v>
      </c>
      <c r="BS17" s="728">
        <f t="shared" si="25"/>
        <v>0.98403342429539908</v>
      </c>
      <c r="BT17" s="479">
        <f t="shared" si="0"/>
        <v>1.1873962645804013</v>
      </c>
    </row>
    <row r="18" spans="1:73" x14ac:dyDescent="0.2">
      <c r="A18" s="589" t="s">
        <v>13</v>
      </c>
      <c r="B18" s="574"/>
      <c r="C18" s="547">
        <v>29613.3</v>
      </c>
      <c r="D18" s="547">
        <v>45873.14</v>
      </c>
      <c r="E18" s="547">
        <v>72145.52</v>
      </c>
      <c r="F18" s="547">
        <v>83418.84</v>
      </c>
      <c r="G18" s="547">
        <f>SUM(G19:G20)</f>
        <v>123345.43</v>
      </c>
      <c r="H18" s="547">
        <f>SUM(H19:H20)</f>
        <v>190686.95</v>
      </c>
      <c r="I18" s="547">
        <v>221076.48000000001</v>
      </c>
      <c r="J18" s="547">
        <v>333994.89999999997</v>
      </c>
      <c r="K18" s="547">
        <v>300942.58999999997</v>
      </c>
      <c r="L18" s="540">
        <v>420190.99</v>
      </c>
      <c r="M18" s="540">
        <v>511180.17000000004</v>
      </c>
      <c r="N18" s="540">
        <v>467470.07</v>
      </c>
      <c r="O18" s="541">
        <v>584040.11</v>
      </c>
      <c r="P18" s="541">
        <v>699506.45</v>
      </c>
      <c r="Q18" s="540">
        <v>889569.94</v>
      </c>
      <c r="R18" s="540">
        <v>1109751.98</v>
      </c>
      <c r="S18" s="541">
        <v>1483630.31</v>
      </c>
      <c r="T18" s="540">
        <v>1901276.39</v>
      </c>
      <c r="U18" s="540">
        <v>1921651.91</v>
      </c>
      <c r="V18" s="542">
        <v>1628702.92</v>
      </c>
      <c r="W18" s="542">
        <v>1841301.48</v>
      </c>
      <c r="X18" s="542">
        <v>1816623.6500000001</v>
      </c>
      <c r="Y18" s="542">
        <v>1482744.15</v>
      </c>
      <c r="Z18" s="547">
        <v>1656123.2699999998</v>
      </c>
      <c r="AA18" s="547">
        <v>1521607.8199999998</v>
      </c>
      <c r="AB18" s="547">
        <v>2005973.05</v>
      </c>
      <c r="AC18" s="547">
        <v>2060917.57</v>
      </c>
      <c r="AD18" s="547">
        <v>2537213.42</v>
      </c>
      <c r="AE18" s="547">
        <v>3377851.6399999997</v>
      </c>
      <c r="AF18" s="547">
        <v>3104070.46</v>
      </c>
      <c r="AG18" s="547">
        <v>3066868.55</v>
      </c>
      <c r="AH18" s="547">
        <v>2729047.32</v>
      </c>
      <c r="AI18" s="542">
        <v>3044267.69</v>
      </c>
      <c r="AJ18" s="547">
        <v>3292371.58</v>
      </c>
      <c r="AK18" s="547">
        <v>3454353.9000000004</v>
      </c>
      <c r="AL18" s="542">
        <v>3265097.42</v>
      </c>
      <c r="AM18" s="542">
        <v>3357620.0300000003</v>
      </c>
      <c r="AN18" s="542">
        <v>3290042.12</v>
      </c>
      <c r="AO18" s="542">
        <v>3516754.4499999997</v>
      </c>
      <c r="AP18" s="547">
        <v>3681737.8099999996</v>
      </c>
      <c r="AQ18" s="542">
        <v>4232620.7699999996</v>
      </c>
      <c r="AR18" s="542">
        <v>4437542.01</v>
      </c>
      <c r="AS18" s="547">
        <v>4715184.83</v>
      </c>
      <c r="AT18" s="542">
        <v>4895480.46</v>
      </c>
      <c r="AU18" s="542">
        <v>5038260.18</v>
      </c>
      <c r="AV18" s="542">
        <v>5275720.290000001</v>
      </c>
      <c r="AW18" s="547">
        <v>5131460.24</v>
      </c>
      <c r="AX18" s="547">
        <v>4785494.0600000005</v>
      </c>
      <c r="AY18" s="547">
        <v>5178735.17</v>
      </c>
      <c r="AZ18" s="570">
        <v>5448474.8799999999</v>
      </c>
      <c r="BA18" s="480">
        <v>5512655.4199999999</v>
      </c>
      <c r="BB18" s="499">
        <v>5833380.1199999992</v>
      </c>
      <c r="BC18" s="498">
        <v>6061675.8300000001</v>
      </c>
      <c r="BD18" s="583">
        <f>SUM(BD19:BD20)</f>
        <v>6055040.6400000006</v>
      </c>
      <c r="BE18" s="660">
        <f>SUM(BE19:BE20)</f>
        <v>6443154.1300000008</v>
      </c>
      <c r="BF18" s="498">
        <f t="shared" ref="BF18:BS18" si="26">SUM(BF19:BF20)</f>
        <v>6847460.21</v>
      </c>
      <c r="BG18" s="660">
        <f t="shared" si="26"/>
        <v>4639588.3499999996</v>
      </c>
      <c r="BH18" s="660">
        <f t="shared" si="26"/>
        <v>5174744.17</v>
      </c>
      <c r="BI18" s="498">
        <f t="shared" si="26"/>
        <v>4519241.58</v>
      </c>
      <c r="BJ18" s="498">
        <f t="shared" si="26"/>
        <v>4191787.59</v>
      </c>
      <c r="BK18" s="498">
        <f t="shared" si="26"/>
        <v>4795928.5200000005</v>
      </c>
      <c r="BL18" s="498">
        <f t="shared" si="26"/>
        <v>4695530.1999999993</v>
      </c>
      <c r="BM18" s="498">
        <f t="shared" si="26"/>
        <v>5329213.75</v>
      </c>
      <c r="BN18" s="498">
        <f t="shared" si="26"/>
        <v>5032829.91</v>
      </c>
      <c r="BO18" s="498">
        <f t="shared" si="26"/>
        <v>4609021.46</v>
      </c>
      <c r="BP18" s="498">
        <f t="shared" si="26"/>
        <v>4842781.0200000014</v>
      </c>
      <c r="BQ18" s="498">
        <f t="shared" si="26"/>
        <v>4832203.7399999993</v>
      </c>
      <c r="BR18" s="498">
        <f t="shared" si="26"/>
        <v>4631889.55</v>
      </c>
      <c r="BS18" s="729">
        <f t="shared" si="26"/>
        <v>4948910.9000000004</v>
      </c>
      <c r="BT18" s="498">
        <f t="shared" si="0"/>
        <v>4800340.1991666667</v>
      </c>
    </row>
    <row r="19" spans="1:73" x14ac:dyDescent="0.2">
      <c r="A19" s="589" t="s">
        <v>14</v>
      </c>
      <c r="B19" s="574"/>
      <c r="C19" s="547">
        <v>2047.8</v>
      </c>
      <c r="D19" s="547">
        <v>5005.13</v>
      </c>
      <c r="E19" s="547">
        <v>6365.73</v>
      </c>
      <c r="F19" s="547">
        <v>8472.07</v>
      </c>
      <c r="G19" s="547">
        <v>14839.42</v>
      </c>
      <c r="H19" s="547">
        <v>28027.88</v>
      </c>
      <c r="I19" s="547">
        <v>44919.17</v>
      </c>
      <c r="J19" s="547">
        <v>53555.519999999997</v>
      </c>
      <c r="K19" s="547">
        <v>72638.789999999994</v>
      </c>
      <c r="L19" s="540">
        <v>78466.31</v>
      </c>
      <c r="M19" s="540">
        <v>64149.899999999994</v>
      </c>
      <c r="N19" s="540">
        <v>90219.4</v>
      </c>
      <c r="O19" s="541">
        <v>103176.31</v>
      </c>
      <c r="P19" s="541">
        <v>113874.19999999998</v>
      </c>
      <c r="Q19" s="540">
        <v>120222.29999999999</v>
      </c>
      <c r="R19" s="540">
        <v>139911.49</v>
      </c>
      <c r="S19" s="541">
        <v>166085.21000000002</v>
      </c>
      <c r="T19" s="540">
        <v>204080.08</v>
      </c>
      <c r="U19" s="540">
        <v>296731.5</v>
      </c>
      <c r="V19" s="542">
        <v>330079.03000000003</v>
      </c>
      <c r="W19" s="542">
        <v>324714.05000000005</v>
      </c>
      <c r="X19" s="542">
        <v>342933.74</v>
      </c>
      <c r="Y19" s="542">
        <v>401914.83</v>
      </c>
      <c r="Z19" s="547">
        <v>437365.4</v>
      </c>
      <c r="AA19" s="547">
        <v>310861.11</v>
      </c>
      <c r="AB19" s="547">
        <v>338760.46</v>
      </c>
      <c r="AC19" s="547">
        <v>377013.08</v>
      </c>
      <c r="AD19" s="547">
        <v>650163.39999999991</v>
      </c>
      <c r="AE19" s="547">
        <v>829222.34000000008</v>
      </c>
      <c r="AF19" s="547">
        <v>861731.41999999993</v>
      </c>
      <c r="AG19" s="547">
        <v>942965.53</v>
      </c>
      <c r="AH19" s="547">
        <v>981338.41</v>
      </c>
      <c r="AI19" s="542">
        <v>1048472.08</v>
      </c>
      <c r="AJ19" s="547">
        <v>1101093.19</v>
      </c>
      <c r="AK19" s="547">
        <v>1201352.04</v>
      </c>
      <c r="AL19" s="542">
        <v>1249769.8699999999</v>
      </c>
      <c r="AM19" s="542">
        <v>1303875.3199999998</v>
      </c>
      <c r="AN19" s="542">
        <v>1380738.7</v>
      </c>
      <c r="AO19" s="542">
        <v>1464720.89</v>
      </c>
      <c r="AP19" s="547">
        <v>1543751.93</v>
      </c>
      <c r="AQ19" s="542">
        <v>1666215.62</v>
      </c>
      <c r="AR19" s="542">
        <v>1783653.4300000002</v>
      </c>
      <c r="AS19" s="547">
        <v>1850121.25</v>
      </c>
      <c r="AT19" s="542">
        <v>1890858.5100000002</v>
      </c>
      <c r="AU19" s="542">
        <v>1998865.8299999998</v>
      </c>
      <c r="AV19" s="542">
        <v>2101714.34</v>
      </c>
      <c r="AW19" s="547">
        <v>2224303.7599999998</v>
      </c>
      <c r="AX19" s="547">
        <v>2281385.91</v>
      </c>
      <c r="AY19" s="547">
        <v>2393796.2600000002</v>
      </c>
      <c r="AZ19" s="570">
        <v>2501334.62</v>
      </c>
      <c r="BA19" s="480">
        <v>2599744.2399999998</v>
      </c>
      <c r="BB19" s="499">
        <v>2654917.41</v>
      </c>
      <c r="BC19" s="498">
        <v>2733265.24</v>
      </c>
      <c r="BD19" s="583">
        <v>2841487.7</v>
      </c>
      <c r="BE19" s="660">
        <v>2860961.2</v>
      </c>
      <c r="BF19" s="498">
        <v>2894839.21</v>
      </c>
      <c r="BG19" s="660">
        <v>1221199.9899999998</v>
      </c>
      <c r="BH19" s="660">
        <v>1111859.19</v>
      </c>
      <c r="BI19" s="498">
        <v>1094690.1100000001</v>
      </c>
      <c r="BJ19" s="498">
        <v>1047479.5700000001</v>
      </c>
      <c r="BK19" s="498">
        <v>1291497.9799999997</v>
      </c>
      <c r="BL19" s="498">
        <v>1188704.23</v>
      </c>
      <c r="BM19" s="498">
        <v>1130612.6599999999</v>
      </c>
      <c r="BN19" s="498">
        <v>1221193.2599999998</v>
      </c>
      <c r="BO19" s="498">
        <v>1060600.4099999999</v>
      </c>
      <c r="BP19" s="498">
        <v>1072987.4400000004</v>
      </c>
      <c r="BQ19" s="498">
        <v>1129579.3</v>
      </c>
      <c r="BR19" s="498">
        <v>1152661.4899999998</v>
      </c>
      <c r="BS19" s="729">
        <v>1147673.1699999997</v>
      </c>
      <c r="BT19" s="498">
        <f t="shared" si="0"/>
        <v>1137461.5675000001</v>
      </c>
    </row>
    <row r="20" spans="1:73" x14ac:dyDescent="0.2">
      <c r="A20" s="590" t="s">
        <v>15</v>
      </c>
      <c r="B20" s="574"/>
      <c r="C20" s="547">
        <v>27565.5</v>
      </c>
      <c r="D20" s="547">
        <v>40868.01</v>
      </c>
      <c r="E20" s="547">
        <v>65779.789999999994</v>
      </c>
      <c r="F20" s="547">
        <v>74946.77</v>
      </c>
      <c r="G20" s="547">
        <v>108506.01</v>
      </c>
      <c r="H20" s="547">
        <v>162659.07</v>
      </c>
      <c r="I20" s="547">
        <v>176157.31</v>
      </c>
      <c r="J20" s="547">
        <v>280439.38</v>
      </c>
      <c r="K20" s="547">
        <v>228303.8</v>
      </c>
      <c r="L20" s="540">
        <v>341724.68</v>
      </c>
      <c r="M20" s="540">
        <v>447030.27</v>
      </c>
      <c r="N20" s="540">
        <v>377250.67000000004</v>
      </c>
      <c r="O20" s="541">
        <v>480863.80000000005</v>
      </c>
      <c r="P20" s="541">
        <v>585632.25</v>
      </c>
      <c r="Q20" s="540">
        <v>769347.64</v>
      </c>
      <c r="R20" s="540">
        <v>969840.49</v>
      </c>
      <c r="S20" s="541">
        <v>1317545.1000000001</v>
      </c>
      <c r="T20" s="540">
        <v>1697196.31</v>
      </c>
      <c r="U20" s="540">
        <v>1624920.41</v>
      </c>
      <c r="V20" s="542">
        <v>1298623.8900000001</v>
      </c>
      <c r="W20" s="542">
        <v>1516587.4300000002</v>
      </c>
      <c r="X20" s="542">
        <v>1473689.9100000001</v>
      </c>
      <c r="Y20" s="542">
        <v>1080829.3199999998</v>
      </c>
      <c r="Z20" s="547">
        <v>1218757.8700000001</v>
      </c>
      <c r="AA20" s="547">
        <v>1210746.71</v>
      </c>
      <c r="AB20" s="547">
        <v>1667212.59</v>
      </c>
      <c r="AC20" s="547">
        <v>1683904.49</v>
      </c>
      <c r="AD20" s="547">
        <v>1887050.0199999998</v>
      </c>
      <c r="AE20" s="547">
        <v>2548629.2999999998</v>
      </c>
      <c r="AF20" s="547">
        <v>2242339.04</v>
      </c>
      <c r="AG20" s="547">
        <v>2123903.02</v>
      </c>
      <c r="AH20" s="547">
        <v>1747708.91</v>
      </c>
      <c r="AI20" s="542">
        <v>1995795.61</v>
      </c>
      <c r="AJ20" s="547">
        <v>2191278.39</v>
      </c>
      <c r="AK20" s="547">
        <v>2253001.8600000003</v>
      </c>
      <c r="AL20" s="542">
        <v>2015327.55</v>
      </c>
      <c r="AM20" s="542">
        <v>2053744.7099999997</v>
      </c>
      <c r="AN20" s="542">
        <v>1909303.42</v>
      </c>
      <c r="AO20" s="542">
        <v>2052033.5599999998</v>
      </c>
      <c r="AP20" s="547">
        <v>2137985.88</v>
      </c>
      <c r="AQ20" s="542">
        <v>2566405.15</v>
      </c>
      <c r="AR20" s="542">
        <v>2653888.58</v>
      </c>
      <c r="AS20" s="547">
        <v>2814063.58</v>
      </c>
      <c r="AT20" s="542">
        <v>3004621.9499999997</v>
      </c>
      <c r="AU20" s="542">
        <v>3039394.35</v>
      </c>
      <c r="AV20" s="542">
        <v>3174005.9499999997</v>
      </c>
      <c r="AW20" s="547">
        <v>2907156.48</v>
      </c>
      <c r="AX20" s="547">
        <v>2504108.15</v>
      </c>
      <c r="AY20" s="547">
        <v>2784938.91</v>
      </c>
      <c r="AZ20" s="570">
        <v>2947140.26</v>
      </c>
      <c r="BA20" s="480">
        <v>2912911.1800000006</v>
      </c>
      <c r="BB20" s="499">
        <v>3178462.71</v>
      </c>
      <c r="BC20" s="498">
        <v>3328410.59</v>
      </c>
      <c r="BD20" s="583">
        <v>3213552.94</v>
      </c>
      <c r="BE20" s="660">
        <v>3582192.93</v>
      </c>
      <c r="BF20" s="498">
        <v>3952621</v>
      </c>
      <c r="BG20" s="660">
        <v>3418388.36</v>
      </c>
      <c r="BH20" s="660">
        <v>4062884.98</v>
      </c>
      <c r="BI20" s="498">
        <v>3424551.47</v>
      </c>
      <c r="BJ20" s="498">
        <v>3144308.02</v>
      </c>
      <c r="BK20" s="498">
        <v>3504430.5400000005</v>
      </c>
      <c r="BL20" s="498">
        <v>3506825.9699999997</v>
      </c>
      <c r="BM20" s="498">
        <v>4198601.09</v>
      </c>
      <c r="BN20" s="498">
        <v>3811636.65</v>
      </c>
      <c r="BO20" s="498">
        <v>3548421.05</v>
      </c>
      <c r="BP20" s="498">
        <v>3769793.5800000005</v>
      </c>
      <c r="BQ20" s="498">
        <v>3702624.4399999995</v>
      </c>
      <c r="BR20" s="498">
        <v>3479228.06</v>
      </c>
      <c r="BS20" s="729">
        <v>3801237.7300000004</v>
      </c>
      <c r="BT20" s="498">
        <f t="shared" si="0"/>
        <v>3662878.6316666664</v>
      </c>
    </row>
    <row r="21" spans="1:73" x14ac:dyDescent="0.2">
      <c r="A21" s="590" t="s">
        <v>16</v>
      </c>
      <c r="B21" s="576"/>
      <c r="C21" s="548">
        <v>0</v>
      </c>
      <c r="D21" s="548">
        <v>0</v>
      </c>
      <c r="E21" s="548">
        <v>0.01</v>
      </c>
      <c r="F21" s="548">
        <v>5.4699999999999999E-2</v>
      </c>
      <c r="G21" s="548">
        <v>7.0999999999999994E-2</v>
      </c>
      <c r="H21" s="548">
        <v>7.0300000000000001E-2</v>
      </c>
      <c r="I21" s="548">
        <v>0.1038</v>
      </c>
      <c r="J21" s="548">
        <v>0.11</v>
      </c>
      <c r="K21" s="548">
        <v>0.15</v>
      </c>
      <c r="L21" s="549">
        <v>0.15</v>
      </c>
      <c r="M21" s="549">
        <v>0.14000000000000001</v>
      </c>
      <c r="N21" s="549">
        <v>0.22</v>
      </c>
      <c r="O21" s="550">
        <v>0.23</v>
      </c>
      <c r="P21" s="550">
        <v>0.22</v>
      </c>
      <c r="Q21" s="549">
        <v>0.17</v>
      </c>
      <c r="R21" s="549">
        <v>0.18</v>
      </c>
      <c r="S21" s="550">
        <v>0.18</v>
      </c>
      <c r="T21" s="549">
        <v>0.19</v>
      </c>
      <c r="U21" s="549">
        <v>0.23</v>
      </c>
      <c r="V21" s="551">
        <v>0.31</v>
      </c>
      <c r="W21" s="551">
        <v>0.32</v>
      </c>
      <c r="X21" s="551">
        <v>0.34</v>
      </c>
      <c r="Y21" s="551">
        <v>0.42</v>
      </c>
      <c r="Z21" s="548">
        <v>0.38</v>
      </c>
      <c r="AA21" s="548">
        <v>0.32</v>
      </c>
      <c r="AB21" s="548">
        <v>0.24</v>
      </c>
      <c r="AC21" s="548">
        <v>0.26</v>
      </c>
      <c r="AD21" s="548">
        <v>0.34</v>
      </c>
      <c r="AE21" s="548">
        <v>0.28000000000000003</v>
      </c>
      <c r="AF21" s="548">
        <v>0.33</v>
      </c>
      <c r="AG21" s="548">
        <v>0.35</v>
      </c>
      <c r="AH21" s="548">
        <v>0.43</v>
      </c>
      <c r="AI21" s="551">
        <v>0.42</v>
      </c>
      <c r="AJ21" s="548">
        <v>0.41</v>
      </c>
      <c r="AK21" s="548">
        <v>0.42</v>
      </c>
      <c r="AL21" s="551">
        <v>0.47</v>
      </c>
      <c r="AM21" s="551">
        <v>0.46</v>
      </c>
      <c r="AN21" s="551">
        <v>0.46</v>
      </c>
      <c r="AO21" s="551">
        <v>0.45610000000000001</v>
      </c>
      <c r="AP21" s="548">
        <v>0.46</v>
      </c>
      <c r="AQ21" s="551">
        <v>0.43</v>
      </c>
      <c r="AR21" s="551">
        <v>0.43</v>
      </c>
      <c r="AS21" s="548">
        <v>0.45</v>
      </c>
      <c r="AT21" s="551">
        <v>0.41</v>
      </c>
      <c r="AU21" s="551">
        <v>0.43</v>
      </c>
      <c r="AV21" s="551">
        <v>0.42</v>
      </c>
      <c r="AW21" s="548">
        <v>0.46</v>
      </c>
      <c r="AX21" s="548">
        <v>0.47</v>
      </c>
      <c r="AY21" s="548">
        <v>0.49</v>
      </c>
      <c r="AZ21" s="571">
        <v>0.48</v>
      </c>
      <c r="BA21" s="592">
        <v>0.45</v>
      </c>
      <c r="BB21" s="501">
        <v>0.47</v>
      </c>
      <c r="BC21" s="500">
        <v>0.46</v>
      </c>
      <c r="BD21" s="584">
        <v>0.47270000000000001</v>
      </c>
      <c r="BE21" s="661">
        <v>0.45</v>
      </c>
      <c r="BF21" s="631">
        <v>0.43619999999999998</v>
      </c>
      <c r="BG21" s="663">
        <v>0.31</v>
      </c>
      <c r="BH21" s="663">
        <v>0.28999999999999998</v>
      </c>
      <c r="BI21" s="631">
        <v>0.32</v>
      </c>
      <c r="BJ21" s="631">
        <v>0.36</v>
      </c>
      <c r="BK21" s="631">
        <v>0.34</v>
      </c>
      <c r="BL21" s="631">
        <v>0.3</v>
      </c>
      <c r="BM21" s="631">
        <v>0.34</v>
      </c>
      <c r="BN21" s="631">
        <v>0.28000000000000003</v>
      </c>
      <c r="BO21" s="631">
        <v>0.25</v>
      </c>
      <c r="BP21" s="631">
        <v>0.25</v>
      </c>
      <c r="BQ21" s="631">
        <v>0.24</v>
      </c>
      <c r="BR21" s="631">
        <v>0.25</v>
      </c>
      <c r="BS21" s="730">
        <v>0.24</v>
      </c>
      <c r="BT21" s="631">
        <f t="shared" si="0"/>
        <v>0.28833333333333339</v>
      </c>
    </row>
    <row r="22" spans="1:73" x14ac:dyDescent="0.2">
      <c r="A22" s="590" t="s">
        <v>64</v>
      </c>
      <c r="B22" s="576"/>
      <c r="C22" s="548"/>
      <c r="D22" s="548"/>
      <c r="E22" s="548"/>
      <c r="F22" s="548"/>
      <c r="G22" s="548"/>
      <c r="H22" s="548"/>
      <c r="I22" s="548"/>
      <c r="J22" s="548"/>
      <c r="K22" s="548"/>
      <c r="L22" s="549"/>
      <c r="M22" s="549"/>
      <c r="N22" s="549"/>
      <c r="O22" s="550"/>
      <c r="P22" s="550"/>
      <c r="Q22" s="549"/>
      <c r="R22" s="549"/>
      <c r="S22" s="550"/>
      <c r="T22" s="549"/>
      <c r="U22" s="549"/>
      <c r="V22" s="551"/>
      <c r="W22" s="551"/>
      <c r="X22" s="551"/>
      <c r="Y22" s="551"/>
      <c r="Z22" s="548"/>
      <c r="AA22" s="548"/>
      <c r="AB22" s="548"/>
      <c r="AC22" s="548"/>
      <c r="AD22" s="548"/>
      <c r="AE22" s="548"/>
      <c r="AF22" s="548"/>
      <c r="AG22" s="548"/>
      <c r="AH22" s="548"/>
      <c r="AI22" s="551"/>
      <c r="AJ22" s="548"/>
      <c r="AK22" s="552">
        <v>1442859.82</v>
      </c>
      <c r="AL22" s="553">
        <v>1528614.45</v>
      </c>
      <c r="AM22" s="553">
        <v>1531339.72</v>
      </c>
      <c r="AN22" s="553">
        <v>1577208.89</v>
      </c>
      <c r="AO22" s="553">
        <v>1143055.93</v>
      </c>
      <c r="AP22" s="552">
        <v>1705921.56</v>
      </c>
      <c r="AQ22" s="553">
        <v>1830630.73</v>
      </c>
      <c r="AR22" s="553">
        <v>1896649.58</v>
      </c>
      <c r="AS22" s="552">
        <v>2038944.04</v>
      </c>
      <c r="AT22" s="553">
        <v>2026763.95</v>
      </c>
      <c r="AU22" s="553">
        <v>2147870.58</v>
      </c>
      <c r="AV22" s="553">
        <v>2238321.0099999998</v>
      </c>
      <c r="AW22" s="552">
        <v>2364042.14</v>
      </c>
      <c r="AX22" s="552">
        <v>2420916.87</v>
      </c>
      <c r="AY22" s="552">
        <v>2547108.65</v>
      </c>
      <c r="AZ22" s="572">
        <v>2618909.38</v>
      </c>
      <c r="BA22" s="482">
        <v>2488540.13</v>
      </c>
      <c r="BB22" s="503">
        <v>2600240.2999999998</v>
      </c>
      <c r="BC22" s="502">
        <v>2774526.18</v>
      </c>
      <c r="BD22" s="585">
        <v>2861921.69</v>
      </c>
      <c r="BE22" s="662">
        <v>2929323.44</v>
      </c>
      <c r="BF22" s="502">
        <v>2986558.5</v>
      </c>
      <c r="BG22" s="662">
        <v>1446799.06</v>
      </c>
      <c r="BH22" s="662">
        <v>1494357.79</v>
      </c>
      <c r="BI22" s="502">
        <v>1450903.56</v>
      </c>
      <c r="BJ22" s="502">
        <v>1490505.96</v>
      </c>
      <c r="BK22" s="502">
        <v>1644436.46</v>
      </c>
      <c r="BL22" s="502">
        <v>1420860.46</v>
      </c>
      <c r="BM22" s="502">
        <v>1820565.84</v>
      </c>
      <c r="BN22" s="502">
        <v>1408570.37</v>
      </c>
      <c r="BO22" s="502">
        <v>1146070.26</v>
      </c>
      <c r="BP22" s="502">
        <v>1191239.69</v>
      </c>
      <c r="BQ22" s="502">
        <v>1147825.81</v>
      </c>
      <c r="BR22" s="502">
        <v>1173375.46</v>
      </c>
      <c r="BS22" s="731">
        <v>1205534.72</v>
      </c>
      <c r="BT22" s="502">
        <f t="shared" si="0"/>
        <v>1382853.865</v>
      </c>
    </row>
    <row r="23" spans="1:73" x14ac:dyDescent="0.2">
      <c r="A23" s="591" t="s">
        <v>234</v>
      </c>
      <c r="B23" s="576"/>
      <c r="C23" s="543">
        <v>0</v>
      </c>
      <c r="D23" s="543">
        <v>0</v>
      </c>
      <c r="E23" s="543">
        <v>0.01</v>
      </c>
      <c r="F23" s="543">
        <v>3.2899999999999999E-2</v>
      </c>
      <c r="G23" s="543">
        <v>0.04</v>
      </c>
      <c r="H23" s="543">
        <v>4.4299999999999999E-2</v>
      </c>
      <c r="I23" s="543">
        <v>7.0000000000000007E-2</v>
      </c>
      <c r="J23" s="543">
        <v>0.08</v>
      </c>
      <c r="K23" s="543">
        <v>0.1</v>
      </c>
      <c r="L23" s="544">
        <v>0.09</v>
      </c>
      <c r="M23" s="544">
        <v>0.10979999999999999</v>
      </c>
      <c r="N23" s="544">
        <v>0.18</v>
      </c>
      <c r="O23" s="545">
        <v>0.17</v>
      </c>
      <c r="P23" s="545">
        <v>0.16</v>
      </c>
      <c r="Q23" s="544">
        <v>0.11</v>
      </c>
      <c r="R23" s="544">
        <v>0.12</v>
      </c>
      <c r="S23" s="545">
        <v>0.13</v>
      </c>
      <c r="T23" s="544">
        <v>0.14000000000000001</v>
      </c>
      <c r="U23" s="544">
        <v>0.18</v>
      </c>
      <c r="V23" s="546">
        <v>0.25719999999999998</v>
      </c>
      <c r="W23" s="546">
        <v>0.24</v>
      </c>
      <c r="X23" s="546">
        <v>0.25</v>
      </c>
      <c r="Y23" s="546">
        <v>0.32</v>
      </c>
      <c r="Z23" s="543">
        <v>0.26</v>
      </c>
      <c r="AA23" s="543">
        <v>0.24</v>
      </c>
      <c r="AB23" s="543">
        <v>0.15229999999999999</v>
      </c>
      <c r="AC23" s="543">
        <v>0.17</v>
      </c>
      <c r="AD23" s="543">
        <v>0.19</v>
      </c>
      <c r="AE23" s="543">
        <v>0.14000000000000001</v>
      </c>
      <c r="AF23" s="543">
        <v>0.18</v>
      </c>
      <c r="AG23" s="543">
        <v>0.19</v>
      </c>
      <c r="AH23" s="543">
        <v>0.26</v>
      </c>
      <c r="AI23" s="546">
        <v>0.27</v>
      </c>
      <c r="AJ23" s="543">
        <v>0.26</v>
      </c>
      <c r="AK23" s="543">
        <v>0.26</v>
      </c>
      <c r="AL23" s="546">
        <v>0.28999999999999998</v>
      </c>
      <c r="AM23" s="546">
        <v>0.26</v>
      </c>
      <c r="AN23" s="546">
        <v>0.26</v>
      </c>
      <c r="AO23" s="546">
        <v>0.23</v>
      </c>
      <c r="AP23" s="543">
        <v>0.24</v>
      </c>
      <c r="AQ23" s="546">
        <v>0.22</v>
      </c>
      <c r="AR23" s="546">
        <v>0.22</v>
      </c>
      <c r="AS23" s="543">
        <v>0.24</v>
      </c>
      <c r="AT23" s="546">
        <v>0.21</v>
      </c>
      <c r="AU23" s="546">
        <v>0.21</v>
      </c>
      <c r="AV23" s="546">
        <v>0.2</v>
      </c>
      <c r="AW23" s="543">
        <v>0.21</v>
      </c>
      <c r="AX23" s="543">
        <v>0.23</v>
      </c>
      <c r="AY23" s="543">
        <v>0.22</v>
      </c>
      <c r="AZ23" s="569">
        <v>0.21</v>
      </c>
      <c r="BA23" s="478">
        <v>0.13</v>
      </c>
      <c r="BB23" s="497">
        <v>0.14000000000000001</v>
      </c>
      <c r="BC23" s="479">
        <v>0.14749999999999999</v>
      </c>
      <c r="BD23" s="582">
        <v>9.2999999999999999E-2</v>
      </c>
      <c r="BE23" s="659">
        <v>8.2500000000000004E-2</v>
      </c>
      <c r="BF23" s="631">
        <v>6.8699999999999997E-2</v>
      </c>
      <c r="BG23" s="663">
        <v>0.08</v>
      </c>
      <c r="BH23" s="663">
        <v>7.0000000000000007E-2</v>
      </c>
      <c r="BI23" s="631">
        <v>0.08</v>
      </c>
      <c r="BJ23" s="631">
        <v>0.09</v>
      </c>
      <c r="BK23" s="631">
        <v>0.08</v>
      </c>
      <c r="BL23" s="631">
        <v>7.0000000000000007E-2</v>
      </c>
      <c r="BM23" s="631">
        <v>0.16</v>
      </c>
      <c r="BN23" s="631">
        <v>0.09</v>
      </c>
      <c r="BO23" s="631">
        <v>7.0000000000000007E-2</v>
      </c>
      <c r="BP23" s="631">
        <v>0.08</v>
      </c>
      <c r="BQ23" s="631">
        <v>0.08</v>
      </c>
      <c r="BR23" s="631">
        <v>0.1</v>
      </c>
      <c r="BS23" s="730">
        <v>0.09</v>
      </c>
      <c r="BT23" s="631">
        <f t="shared" si="0"/>
        <v>8.8333333333333319E-2</v>
      </c>
    </row>
    <row r="24" spans="1:73" x14ac:dyDescent="0.2">
      <c r="A24" s="591" t="s">
        <v>235</v>
      </c>
      <c r="B24" s="576"/>
      <c r="C24" s="543"/>
      <c r="D24" s="543"/>
      <c r="E24" s="543"/>
      <c r="F24" s="543"/>
      <c r="G24" s="543"/>
      <c r="H24" s="543"/>
      <c r="I24" s="543"/>
      <c r="J24" s="543"/>
      <c r="K24" s="543"/>
      <c r="L24" s="544"/>
      <c r="M24" s="544"/>
      <c r="N24" s="544"/>
      <c r="O24" s="545"/>
      <c r="P24" s="545"/>
      <c r="Q24" s="544"/>
      <c r="R24" s="544"/>
      <c r="S24" s="545"/>
      <c r="T24" s="544"/>
      <c r="U24" s="544"/>
      <c r="V24" s="546"/>
      <c r="W24" s="546"/>
      <c r="X24" s="546"/>
      <c r="Y24" s="546"/>
      <c r="Z24" s="543"/>
      <c r="AA24" s="543"/>
      <c r="AB24" s="543"/>
      <c r="AC24" s="543"/>
      <c r="AD24" s="543"/>
      <c r="AE24" s="543"/>
      <c r="AF24" s="543"/>
      <c r="AG24" s="543"/>
      <c r="AH24" s="543"/>
      <c r="AI24" s="546"/>
      <c r="AJ24" s="543"/>
      <c r="AK24" s="552">
        <v>584959.64</v>
      </c>
      <c r="AL24" s="553">
        <v>585966.01</v>
      </c>
      <c r="AM24" s="553">
        <v>528565.44999999995</v>
      </c>
      <c r="AN24" s="553">
        <v>501252.23</v>
      </c>
      <c r="AO24" s="553">
        <v>474347.98</v>
      </c>
      <c r="AP24" s="552">
        <v>515989.64</v>
      </c>
      <c r="AQ24" s="553">
        <v>557410.13</v>
      </c>
      <c r="AR24" s="553">
        <v>577672.03</v>
      </c>
      <c r="AS24" s="552">
        <v>680511.55</v>
      </c>
      <c r="AT24" s="553">
        <v>633280.68999999994</v>
      </c>
      <c r="AU24" s="553">
        <v>639321.62</v>
      </c>
      <c r="AV24" s="553">
        <v>619890.88</v>
      </c>
      <c r="AW24" s="552">
        <v>615756.31999999995</v>
      </c>
      <c r="AX24" s="552">
        <v>583394.17000000004</v>
      </c>
      <c r="AY24" s="552">
        <v>610138.62</v>
      </c>
      <c r="AZ24" s="572">
        <v>623773.84</v>
      </c>
      <c r="BA24" s="482">
        <v>388648.94</v>
      </c>
      <c r="BB24" s="503">
        <v>423676.14</v>
      </c>
      <c r="BC24" s="502">
        <v>490844.79</v>
      </c>
      <c r="BD24" s="585">
        <v>298792.42</v>
      </c>
      <c r="BE24" s="662">
        <v>295678.96999999997</v>
      </c>
      <c r="BF24" s="502">
        <v>271350.21999999997</v>
      </c>
      <c r="BG24" s="662">
        <v>258175.69</v>
      </c>
      <c r="BH24" s="662">
        <v>302756.52</v>
      </c>
      <c r="BI24" s="502">
        <v>257867.01</v>
      </c>
      <c r="BJ24" s="502">
        <v>292954.63</v>
      </c>
      <c r="BK24" s="502">
        <v>293743.02</v>
      </c>
      <c r="BL24" s="502">
        <v>230445.64</v>
      </c>
      <c r="BM24" s="502">
        <v>667841.44999999995</v>
      </c>
      <c r="BN24" s="502">
        <v>325413.44</v>
      </c>
      <c r="BO24" s="502">
        <v>241668.29</v>
      </c>
      <c r="BP24" s="502">
        <v>318372.28999999998</v>
      </c>
      <c r="BQ24" s="502">
        <v>300627.32</v>
      </c>
      <c r="BR24" s="502">
        <v>337244.71</v>
      </c>
      <c r="BS24" s="731">
        <v>339830.12</v>
      </c>
      <c r="BT24" s="502">
        <f t="shared" si="0"/>
        <v>325730.37000000005</v>
      </c>
      <c r="BU24" s="471"/>
    </row>
    <row r="25" spans="1:73" x14ac:dyDescent="0.2">
      <c r="A25" s="591" t="s">
        <v>236</v>
      </c>
      <c r="B25" s="576"/>
      <c r="C25" s="543"/>
      <c r="D25" s="543"/>
      <c r="E25" s="543"/>
      <c r="F25" s="543"/>
      <c r="G25" s="543"/>
      <c r="H25" s="543"/>
      <c r="I25" s="543"/>
      <c r="J25" s="543"/>
      <c r="K25" s="543"/>
      <c r="L25" s="544"/>
      <c r="M25" s="544"/>
      <c r="N25" s="544"/>
      <c r="O25" s="545"/>
      <c r="P25" s="545"/>
      <c r="Q25" s="544"/>
      <c r="R25" s="544"/>
      <c r="S25" s="545"/>
      <c r="T25" s="544"/>
      <c r="U25" s="544"/>
      <c r="V25" s="546"/>
      <c r="W25" s="546"/>
      <c r="X25" s="546"/>
      <c r="Y25" s="546"/>
      <c r="Z25" s="543"/>
      <c r="AA25" s="543"/>
      <c r="AB25" s="543"/>
      <c r="AC25" s="543"/>
      <c r="AD25" s="543"/>
      <c r="AE25" s="543"/>
      <c r="AF25" s="543"/>
      <c r="AG25" s="543"/>
      <c r="AH25" s="543"/>
      <c r="AI25" s="546"/>
      <c r="AJ25" s="543"/>
      <c r="AK25" s="552"/>
      <c r="AL25" s="553"/>
      <c r="AM25" s="553"/>
      <c r="AN25" s="553"/>
      <c r="AO25" s="553"/>
      <c r="AP25" s="552"/>
      <c r="AQ25" s="553"/>
      <c r="AR25" s="553"/>
      <c r="AS25" s="552"/>
      <c r="AT25" s="553"/>
      <c r="AU25" s="553"/>
      <c r="AV25" s="553"/>
      <c r="AW25" s="552"/>
      <c r="AX25" s="552"/>
      <c r="AY25" s="552"/>
      <c r="AZ25" s="572"/>
      <c r="BA25" s="482">
        <v>0</v>
      </c>
      <c r="BB25" s="503">
        <v>0</v>
      </c>
      <c r="BC25" s="502">
        <v>0</v>
      </c>
      <c r="BD25" s="632">
        <v>6.7100000000000007E-2</v>
      </c>
      <c r="BE25" s="663">
        <v>6.7500000000000004E-2</v>
      </c>
      <c r="BF25" s="631">
        <v>7.0199999999999999E-2</v>
      </c>
      <c r="BG25" s="663">
        <v>0.08</v>
      </c>
      <c r="BH25" s="663">
        <v>7.0000000000000007E-2</v>
      </c>
      <c r="BI25" s="631">
        <v>0.09</v>
      </c>
      <c r="BJ25" s="631">
        <v>0.1</v>
      </c>
      <c r="BK25" s="631">
        <v>0.09</v>
      </c>
      <c r="BL25" s="631">
        <v>0.08</v>
      </c>
      <c r="BM25" s="631">
        <v>7.0000000000000007E-2</v>
      </c>
      <c r="BN25" s="631">
        <v>7.0000000000000007E-2</v>
      </c>
      <c r="BO25" s="631">
        <v>0.03</v>
      </c>
      <c r="BP25" s="631">
        <v>0.04</v>
      </c>
      <c r="BQ25" s="631">
        <v>0.05</v>
      </c>
      <c r="BR25" s="631">
        <v>5.4904900370342506E-2</v>
      </c>
      <c r="BS25" s="730">
        <v>5.1955592895790811E-2</v>
      </c>
      <c r="BT25" s="631">
        <f t="shared" si="0"/>
        <v>6.6405041105511112E-2</v>
      </c>
      <c r="BU25" s="471"/>
    </row>
    <row r="26" spans="1:73" x14ac:dyDescent="0.2">
      <c r="A26" s="591" t="s">
        <v>233</v>
      </c>
      <c r="B26" s="576"/>
      <c r="C26" s="543"/>
      <c r="D26" s="543"/>
      <c r="E26" s="543"/>
      <c r="F26" s="543"/>
      <c r="G26" s="543"/>
      <c r="H26" s="543"/>
      <c r="I26" s="543"/>
      <c r="J26" s="543"/>
      <c r="K26" s="543"/>
      <c r="L26" s="544"/>
      <c r="M26" s="544"/>
      <c r="N26" s="544"/>
      <c r="O26" s="545"/>
      <c r="P26" s="545"/>
      <c r="Q26" s="544"/>
      <c r="R26" s="544"/>
      <c r="S26" s="545"/>
      <c r="T26" s="544"/>
      <c r="U26" s="544"/>
      <c r="V26" s="546"/>
      <c r="W26" s="546"/>
      <c r="X26" s="546"/>
      <c r="Y26" s="546"/>
      <c r="Z26" s="543"/>
      <c r="AA26" s="543"/>
      <c r="AB26" s="543"/>
      <c r="AC26" s="543"/>
      <c r="AD26" s="543"/>
      <c r="AE26" s="543"/>
      <c r="AF26" s="543"/>
      <c r="AG26" s="543"/>
      <c r="AH26" s="543"/>
      <c r="AI26" s="546"/>
      <c r="AJ26" s="543"/>
      <c r="AK26" s="552"/>
      <c r="AL26" s="553"/>
      <c r="AM26" s="553"/>
      <c r="AN26" s="553"/>
      <c r="AO26" s="553"/>
      <c r="AP26" s="552"/>
      <c r="AQ26" s="553"/>
      <c r="AR26" s="553"/>
      <c r="AS26" s="552"/>
      <c r="AT26" s="553"/>
      <c r="AU26" s="553"/>
      <c r="AV26" s="553"/>
      <c r="AW26" s="552"/>
      <c r="AX26" s="552"/>
      <c r="AY26" s="552"/>
      <c r="AZ26" s="572"/>
      <c r="BA26" s="482">
        <v>0</v>
      </c>
      <c r="BB26" s="503">
        <v>0</v>
      </c>
      <c r="BC26" s="502">
        <v>0</v>
      </c>
      <c r="BD26" s="585">
        <v>215632.33000000002</v>
      </c>
      <c r="BE26" s="662">
        <v>241687.28</v>
      </c>
      <c r="BF26" s="502">
        <v>277560.90000000008</v>
      </c>
      <c r="BG26" s="662">
        <v>283100.52</v>
      </c>
      <c r="BH26" s="662">
        <v>304455.65000000002</v>
      </c>
      <c r="BI26" s="502">
        <v>301213.31</v>
      </c>
      <c r="BJ26" s="502">
        <v>327440.57</v>
      </c>
      <c r="BK26" s="502">
        <v>332899.15999999997</v>
      </c>
      <c r="BL26" s="502">
        <v>295315.61999999994</v>
      </c>
      <c r="BM26" s="502">
        <v>302405.26</v>
      </c>
      <c r="BN26" s="502">
        <v>271613.15000000002</v>
      </c>
      <c r="BO26" s="502">
        <v>119753.23000000003</v>
      </c>
      <c r="BP26" s="502">
        <v>157468.39000000004</v>
      </c>
      <c r="BQ26" s="502">
        <v>172758.06000000003</v>
      </c>
      <c r="BR26" s="502">
        <v>191026.67000000004</v>
      </c>
      <c r="BS26" s="731">
        <v>197495.56000000003</v>
      </c>
      <c r="BT26" s="502">
        <f t="shared" si="0"/>
        <v>247820.38583333333</v>
      </c>
      <c r="BU26" s="471"/>
    </row>
    <row r="27" spans="1:73" x14ac:dyDescent="0.2">
      <c r="A27" s="589" t="s">
        <v>17</v>
      </c>
      <c r="B27" s="574"/>
      <c r="C27" s="554">
        <f>C18/(C4+C5)*31</f>
        <v>35.403769178230903</v>
      </c>
      <c r="D27" s="554">
        <f>D18/(D4+C4+C5+D5)*60</f>
        <v>33.43978692919675</v>
      </c>
      <c r="E27" s="554">
        <f t="shared" ref="E27:AL27" si="27">E18/(C4+C5+D4+D5+E4+E5)*90</f>
        <v>44.116394339923133</v>
      </c>
      <c r="F27" s="554">
        <f t="shared" si="27"/>
        <v>31.511442038505283</v>
      </c>
      <c r="G27" s="554">
        <f t="shared" si="27"/>
        <v>32.752607965685712</v>
      </c>
      <c r="H27" s="555">
        <f t="shared" si="27"/>
        <v>36.221566931116485</v>
      </c>
      <c r="I27" s="555">
        <f t="shared" si="27"/>
        <v>32.609646133193081</v>
      </c>
      <c r="J27" s="555">
        <f t="shared" si="27"/>
        <v>35.091052222902093</v>
      </c>
      <c r="K27" s="555">
        <f t="shared" si="27"/>
        <v>24.498240294621077</v>
      </c>
      <c r="L27" s="556">
        <f t="shared" si="27"/>
        <v>27.130892251574437</v>
      </c>
      <c r="M27" s="556">
        <f t="shared" si="27"/>
        <v>29.449168761638614</v>
      </c>
      <c r="N27" s="556">
        <f t="shared" si="27"/>
        <v>24.91193728035568</v>
      </c>
      <c r="O27" s="557">
        <f t="shared" si="27"/>
        <v>28.9008750799503</v>
      </c>
      <c r="P27" s="557">
        <f t="shared" si="27"/>
        <v>30.121162749124728</v>
      </c>
      <c r="Q27" s="556">
        <f t="shared" si="27"/>
        <v>31.652116884530539</v>
      </c>
      <c r="R27" s="556">
        <f t="shared" si="27"/>
        <v>33.291791913223761</v>
      </c>
      <c r="S27" s="557">
        <f t="shared" si="27"/>
        <v>33.93634489223281</v>
      </c>
      <c r="T27" s="556">
        <f t="shared" si="27"/>
        <v>33.760663649247896</v>
      </c>
      <c r="U27" s="556">
        <f t="shared" si="27"/>
        <v>31.433978111728646</v>
      </c>
      <c r="V27" s="558">
        <f t="shared" si="27"/>
        <v>26.893561494810609</v>
      </c>
      <c r="W27" s="558">
        <f t="shared" si="27"/>
        <v>33.260448939652214</v>
      </c>
      <c r="X27" s="558">
        <f t="shared" si="27"/>
        <v>31.54259203295824</v>
      </c>
      <c r="Y27" s="558">
        <f t="shared" si="27"/>
        <v>26.573180985230966</v>
      </c>
      <c r="Z27" s="555">
        <f t="shared" si="27"/>
        <v>29.298217853894265</v>
      </c>
      <c r="AA27" s="555">
        <f t="shared" si="27"/>
        <v>26.66525870473038</v>
      </c>
      <c r="AB27" s="555">
        <f t="shared" si="27"/>
        <v>32.121038356493806</v>
      </c>
      <c r="AC27" s="555">
        <f t="shared" si="27"/>
        <v>29.899231690387573</v>
      </c>
      <c r="AD27" s="555">
        <f t="shared" si="27"/>
        <v>33.424862610347596</v>
      </c>
      <c r="AE27" s="555">
        <f t="shared" si="27"/>
        <v>38.001426764870985</v>
      </c>
      <c r="AF27" s="555">
        <f t="shared" si="27"/>
        <v>31.271476596327243</v>
      </c>
      <c r="AG27" s="555">
        <f t="shared" si="27"/>
        <v>31.028308246827486</v>
      </c>
      <c r="AH27" s="555">
        <f t="shared" si="27"/>
        <v>29.118601338171253</v>
      </c>
      <c r="AI27" s="558">
        <f t="shared" si="27"/>
        <v>34.515418378918817</v>
      </c>
      <c r="AJ27" s="555">
        <f t="shared" si="27"/>
        <v>34.959542123781503</v>
      </c>
      <c r="AK27" s="555">
        <f t="shared" si="27"/>
        <v>36.410761752660818</v>
      </c>
      <c r="AL27" s="558">
        <f t="shared" si="27"/>
        <v>36.151655934490947</v>
      </c>
      <c r="AM27" s="558">
        <f>AM18/(AK4+AK5+AL4+AL5+AM4+AM5)*90</f>
        <v>39.026583028124207</v>
      </c>
      <c r="AN27" s="558">
        <f>AN18/(AL4+AL5+AM4+AM5+AN4+AN5)*90</f>
        <v>38.165505370254159</v>
      </c>
      <c r="AO27" s="558">
        <f t="shared" ref="AO27:BJ27" si="28">AO18/(AM4+AM5+AN4+AN5+AO4+AO5)*90</f>
        <v>39.327666290568537</v>
      </c>
      <c r="AP27" s="555">
        <f t="shared" si="28"/>
        <v>38.903203939863779</v>
      </c>
      <c r="AQ27" s="558">
        <f t="shared" si="28"/>
        <v>41.720665980673665</v>
      </c>
      <c r="AR27" s="558">
        <f t="shared" si="28"/>
        <v>39.437674252942557</v>
      </c>
      <c r="AS27" s="555">
        <f t="shared" si="28"/>
        <v>38.831492879808359</v>
      </c>
      <c r="AT27" s="558">
        <f t="shared" si="28"/>
        <v>40.125302422473993</v>
      </c>
      <c r="AU27" s="558">
        <f t="shared" si="28"/>
        <v>39.673546446190976</v>
      </c>
      <c r="AV27" s="558">
        <f t="shared" si="28"/>
        <v>41.982533873096486</v>
      </c>
      <c r="AW27" s="555">
        <f t="shared" si="28"/>
        <v>40.42705393092097</v>
      </c>
      <c r="AX27" s="555">
        <f t="shared" si="28"/>
        <v>40.156229992887056</v>
      </c>
      <c r="AY27" s="555">
        <f t="shared" si="28"/>
        <v>41.150655689098791</v>
      </c>
      <c r="AZ27" s="573">
        <f t="shared" si="28"/>
        <v>41.712754833673884</v>
      </c>
      <c r="BA27" s="483">
        <f t="shared" si="28"/>
        <v>39.670831773262897</v>
      </c>
      <c r="BB27" s="578">
        <f t="shared" si="28"/>
        <v>41.914527598920266</v>
      </c>
      <c r="BC27" s="504">
        <f t="shared" si="28"/>
        <v>42.358942163980394</v>
      </c>
      <c r="BD27" s="586">
        <f t="shared" si="28"/>
        <v>41.124092922984424</v>
      </c>
      <c r="BE27" s="664">
        <f t="shared" si="28"/>
        <v>42.655112534440605</v>
      </c>
      <c r="BF27" s="504">
        <f t="shared" si="28"/>
        <v>43.04982833206688</v>
      </c>
      <c r="BG27" s="664">
        <v>28.318538198562521</v>
      </c>
      <c r="BH27" s="664">
        <v>28.807153419697173</v>
      </c>
      <c r="BI27" s="504">
        <v>25.926633142959719</v>
      </c>
      <c r="BJ27" s="504">
        <f t="shared" si="28"/>
        <v>24.62163181172826</v>
      </c>
      <c r="BK27" s="504">
        <f t="shared" ref="BK27" si="29">BK18/(BI4+BI5+BJ4+BJ5+BK4+BK5)*90</f>
        <v>31.487956818439951</v>
      </c>
      <c r="BL27" s="504">
        <f t="shared" ref="BL27" si="30">BL18/(BJ4+BJ5+BK4+BK5+BL4+BL5)*90</f>
        <v>30.662619905491404</v>
      </c>
      <c r="BM27" s="504">
        <f t="shared" ref="BM27:BS27" si="31">BM18/(BK4+BK5+BL4+BL5+BM4+BM5)*90</f>
        <v>33.319849468940447</v>
      </c>
      <c r="BN27" s="504">
        <f t="shared" si="31"/>
        <v>30.367140373776142</v>
      </c>
      <c r="BO27" s="504">
        <f t="shared" si="31"/>
        <v>27.161369511367898</v>
      </c>
      <c r="BP27" s="504">
        <f t="shared" si="31"/>
        <v>26.523967847028668</v>
      </c>
      <c r="BQ27" s="504">
        <f t="shared" si="31"/>
        <v>24.717728603109602</v>
      </c>
      <c r="BR27" s="504">
        <f t="shared" si="31"/>
        <v>22.849539746560904</v>
      </c>
      <c r="BS27" s="732">
        <f t="shared" si="31"/>
        <v>25.87992758325495</v>
      </c>
      <c r="BT27" s="504">
        <f t="shared" si="0"/>
        <v>27.693793186029591</v>
      </c>
    </row>
    <row r="28" spans="1:73" x14ac:dyDescent="0.2">
      <c r="A28" s="589" t="s">
        <v>18</v>
      </c>
      <c r="B28" s="577"/>
      <c r="C28" s="555">
        <f>C4/C20*31</f>
        <v>24.980373655475141</v>
      </c>
      <c r="D28" s="555">
        <f>D20/((C4+D4-C5-D5)/60)</f>
        <v>39.294406548168759</v>
      </c>
      <c r="E28" s="555">
        <f t="shared" ref="E28:AI28" si="32">E20/(SUM(C4:E4)/90)</f>
        <v>45.294899797280912</v>
      </c>
      <c r="F28" s="555">
        <f t="shared" si="32"/>
        <v>31.242429561971107</v>
      </c>
      <c r="G28" s="555">
        <f t="shared" si="32"/>
        <v>31.584828219909436</v>
      </c>
      <c r="H28" s="555">
        <f t="shared" si="32"/>
        <v>33.723893688292357</v>
      </c>
      <c r="I28" s="555">
        <f t="shared" si="32"/>
        <v>28.654994340089498</v>
      </c>
      <c r="J28" s="555">
        <f t="shared" si="32"/>
        <v>32.954161096139948</v>
      </c>
      <c r="K28" s="555">
        <f t="shared" si="32"/>
        <v>20.85286144358221</v>
      </c>
      <c r="L28" s="556">
        <f t="shared" si="32"/>
        <v>24.862924419921139</v>
      </c>
      <c r="M28" s="556">
        <f t="shared" si="32"/>
        <v>28.968423086426807</v>
      </c>
      <c r="N28" s="556">
        <f t="shared" si="32"/>
        <v>22.908070650935056</v>
      </c>
      <c r="O28" s="557">
        <f t="shared" si="32"/>
        <v>27.573555468515085</v>
      </c>
      <c r="P28" s="557">
        <f t="shared" si="32"/>
        <v>29.033600548311746</v>
      </c>
      <c r="Q28" s="556">
        <f t="shared" si="32"/>
        <v>30.761551897475982</v>
      </c>
      <c r="R28" s="556">
        <f t="shared" si="32"/>
        <v>31.945812374641477</v>
      </c>
      <c r="S28" s="557">
        <f t="shared" si="32"/>
        <v>32.700205397416632</v>
      </c>
      <c r="T28" s="556">
        <f t="shared" si="32"/>
        <v>32.958302025704917</v>
      </c>
      <c r="U28" s="556">
        <f t="shared" si="32"/>
        <v>29.040006813625656</v>
      </c>
      <c r="V28" s="558">
        <f t="shared" si="32"/>
        <v>23.51401490907665</v>
      </c>
      <c r="W28" s="558">
        <f t="shared" si="32"/>
        <v>29.856093329852996</v>
      </c>
      <c r="X28" s="558">
        <f t="shared" si="32"/>
        <v>27.922435501801832</v>
      </c>
      <c r="Y28" s="558">
        <f t="shared" si="32"/>
        <v>21.241078449161122</v>
      </c>
      <c r="Z28" s="555">
        <f t="shared" si="32"/>
        <v>23.819209119416449</v>
      </c>
      <c r="AA28" s="555">
        <f t="shared" si="32"/>
        <v>23.832665918088438</v>
      </c>
      <c r="AB28" s="555">
        <f t="shared" si="32"/>
        <v>29.868722057741145</v>
      </c>
      <c r="AC28" s="555">
        <f t="shared" si="32"/>
        <v>27.122142363599483</v>
      </c>
      <c r="AD28" s="555">
        <f t="shared" si="32"/>
        <v>27.126467152101782</v>
      </c>
      <c r="AE28" s="555">
        <f t="shared" si="32"/>
        <v>30.996970344295189</v>
      </c>
      <c r="AF28" s="555">
        <f t="shared" si="32"/>
        <v>24.316546187349573</v>
      </c>
      <c r="AG28" s="555">
        <f t="shared" si="32"/>
        <v>23.054326178240363</v>
      </c>
      <c r="AH28" s="555">
        <f t="shared" si="32"/>
        <v>20.02516513859533</v>
      </c>
      <c r="AI28" s="558">
        <f t="shared" si="32"/>
        <v>24.223484864397584</v>
      </c>
      <c r="AJ28" s="555">
        <f t="shared" ref="AJ28:AY28" si="33">AJ20/(SUM(AH4:AJ4)/90)</f>
        <v>24.900928052525366</v>
      </c>
      <c r="AK28" s="555">
        <f t="shared" si="33"/>
        <v>25.365654470348783</v>
      </c>
      <c r="AL28" s="558">
        <f t="shared" si="33"/>
        <v>23.882168007470742</v>
      </c>
      <c r="AM28" s="558">
        <f>AM20/(SUM(AK4:AM4)/90)</f>
        <v>25.829118719015167</v>
      </c>
      <c r="AN28" s="558">
        <f>AN20/(SUM(AL4:AN4)/90)</f>
        <v>24.197421218001747</v>
      </c>
      <c r="AO28" s="558">
        <f t="shared" si="33"/>
        <v>25.038300822186837</v>
      </c>
      <c r="AP28" s="555">
        <f t="shared" si="33"/>
        <v>24.446979822120856</v>
      </c>
      <c r="AQ28" s="558">
        <f t="shared" si="33"/>
        <v>27.063921661521228</v>
      </c>
      <c r="AR28" s="558">
        <f t="shared" si="33"/>
        <v>25.142417331632718</v>
      </c>
      <c r="AS28" s="555">
        <f t="shared" si="33"/>
        <v>24.557006994068455</v>
      </c>
      <c r="AT28" s="558">
        <f t="shared" si="33"/>
        <v>26.094192820894737</v>
      </c>
      <c r="AU28" s="558">
        <f t="shared" si="33"/>
        <v>25.329127599185938</v>
      </c>
      <c r="AV28" s="558">
        <f t="shared" si="33"/>
        <v>26.751090628610616</v>
      </c>
      <c r="AW28" s="555">
        <f t="shared" si="33"/>
        <v>24.320890171294522</v>
      </c>
      <c r="AX28" s="555">
        <f t="shared" si="33"/>
        <v>22.427782301352739</v>
      </c>
      <c r="AY28" s="555">
        <f t="shared" si="33"/>
        <v>24.009161286549677</v>
      </c>
      <c r="AZ28" s="573">
        <f t="shared" ref="AZ28:BJ28" si="34">AZ20/(SUM(AX4:AZ4)/90)</f>
        <v>24.455238592906433</v>
      </c>
      <c r="BA28" s="483">
        <f t="shared" si="34"/>
        <v>22.613737272258245</v>
      </c>
      <c r="BB28" s="578">
        <f t="shared" si="34"/>
        <v>24.292590876958347</v>
      </c>
      <c r="BC28" s="504">
        <f t="shared" si="34"/>
        <v>24.662238607667323</v>
      </c>
      <c r="BD28" s="586">
        <f t="shared" si="34"/>
        <v>23.123915858685137</v>
      </c>
      <c r="BE28" s="664">
        <f t="shared" si="34"/>
        <v>25.056540690186583</v>
      </c>
      <c r="BF28" s="504">
        <f t="shared" si="34"/>
        <v>26.249414201477922</v>
      </c>
      <c r="BG28" s="664">
        <v>22.001070495452641</v>
      </c>
      <c r="BH28" s="664">
        <v>23.839062182122433</v>
      </c>
      <c r="BI28" s="504">
        <v>20.707913343014013</v>
      </c>
      <c r="BJ28" s="504">
        <f t="shared" si="34"/>
        <v>19.526187913134631</v>
      </c>
      <c r="BK28" s="504">
        <f t="shared" ref="BK28" si="35">BK20/(SUM(BI4:BK4)/90)</f>
        <v>24.687306052585978</v>
      </c>
      <c r="BL28" s="504">
        <f t="shared" ref="BL28" si="36">BL20/(SUM(BJ4:BL4)/90)</f>
        <v>24.621804116253241</v>
      </c>
      <c r="BM28" s="504">
        <f t="shared" ref="BM28:BS28" si="37">BM20/(SUM(BK4:BM4)/90)</f>
        <v>28.173952316499964</v>
      </c>
      <c r="BN28" s="504">
        <f t="shared" si="37"/>
        <v>24.41254433827952</v>
      </c>
      <c r="BO28" s="504">
        <f t="shared" si="37"/>
        <v>22.15754145752717</v>
      </c>
      <c r="BP28" s="504">
        <f t="shared" si="37"/>
        <v>21.907097924065056</v>
      </c>
      <c r="BQ28" s="504">
        <f t="shared" si="37"/>
        <v>20.054293954681594</v>
      </c>
      <c r="BR28" s="504">
        <f t="shared" si="37"/>
        <v>18.158068331583788</v>
      </c>
      <c r="BS28" s="732">
        <f t="shared" si="37"/>
        <v>21.015207702316779</v>
      </c>
      <c r="BT28" s="504">
        <f t="shared" si="0"/>
        <v>22.43841496933868</v>
      </c>
    </row>
    <row r="29" spans="1:73" x14ac:dyDescent="0.2">
      <c r="A29" s="217" t="s">
        <v>292</v>
      </c>
      <c r="B29" s="577"/>
      <c r="C29" s="555"/>
      <c r="D29" s="555"/>
      <c r="E29" s="555"/>
      <c r="F29" s="555"/>
      <c r="G29" s="555"/>
      <c r="H29" s="555"/>
      <c r="I29" s="555"/>
      <c r="J29" s="555"/>
      <c r="K29" s="555"/>
      <c r="L29" s="556"/>
      <c r="M29" s="556"/>
      <c r="N29" s="556"/>
      <c r="O29" s="557"/>
      <c r="P29" s="557"/>
      <c r="Q29" s="556"/>
      <c r="R29" s="556"/>
      <c r="S29" s="557"/>
      <c r="T29" s="556"/>
      <c r="U29" s="556"/>
      <c r="V29" s="558"/>
      <c r="W29" s="558"/>
      <c r="X29" s="558"/>
      <c r="Y29" s="558"/>
      <c r="Z29" s="555"/>
      <c r="AA29" s="555"/>
      <c r="AB29" s="555"/>
      <c r="AC29" s="555"/>
      <c r="AD29" s="555"/>
      <c r="AE29" s="555"/>
      <c r="AF29" s="555"/>
      <c r="AG29" s="555"/>
      <c r="AH29" s="555"/>
      <c r="AI29" s="558"/>
      <c r="AJ29" s="555"/>
      <c r="AK29" s="555"/>
      <c r="AL29" s="558"/>
      <c r="AM29" s="558"/>
      <c r="AN29" s="558"/>
      <c r="AO29" s="558"/>
      <c r="AP29" s="555"/>
      <c r="AQ29" s="558"/>
      <c r="AR29" s="558"/>
      <c r="AS29" s="555"/>
      <c r="AT29" s="558"/>
      <c r="AU29" s="558"/>
      <c r="AV29" s="558"/>
      <c r="AW29" s="555"/>
      <c r="AX29" s="555"/>
      <c r="AY29" s="555"/>
      <c r="AZ29" s="573"/>
      <c r="BA29" s="483"/>
      <c r="BB29" s="578"/>
      <c r="BC29" s="504"/>
      <c r="BD29" s="586"/>
      <c r="BE29" s="664"/>
      <c r="BF29" s="504"/>
      <c r="BG29" s="664"/>
      <c r="BH29" s="664">
        <v>22.052662319026012</v>
      </c>
      <c r="BI29" s="504">
        <v>18.88650718927838</v>
      </c>
      <c r="BJ29" s="504">
        <f>SUM('AR - Market 1'!B111:B116)/SUM(BH4:BJ4)*90</f>
        <v>17.492778317275793</v>
      </c>
      <c r="BK29" s="504">
        <f>SUM('AR - Market 1'!B99:B104)/SUM(BI4:BK4)*90</f>
        <v>22.342165136319228</v>
      </c>
      <c r="BL29" s="504">
        <f>SUM('AR - Market 1'!B87:B92)/SUM(BJ4:BL4)*90</f>
        <v>22.548361233625705</v>
      </c>
      <c r="BM29" s="504">
        <f>SUM('AR - Market 1'!B75:B80)/SUM(BK4:BM4)*90</f>
        <v>26.144716579913524</v>
      </c>
      <c r="BN29" s="504">
        <f>SUM('AR - Market 1'!B63:B68)/SUM(BL4:BN4)*90</f>
        <v>22.672932545210319</v>
      </c>
      <c r="BO29" s="504">
        <f>SUM('AR - Market 1'!B51:B56)/SUM(BM4:BO4)*90</f>
        <v>21.409761777210544</v>
      </c>
      <c r="BP29" s="504">
        <f>SUM('AR - Market 1'!B39:B44)/SUM(BN4:BP4)*90</f>
        <v>20.992014547092765</v>
      </c>
      <c r="BQ29" s="504">
        <f>SUM('AR - Market 1'!B27:B32)/SUM(BO4:BQ4)*90</f>
        <v>19.118595243018436</v>
      </c>
      <c r="BR29" s="504">
        <f>SUM('AR - Market 1'!B15:B20)/SUM(BP4:BR4)*90</f>
        <v>17.161101398920309</v>
      </c>
      <c r="BS29" s="732">
        <f>SUM('AR - Market 1'!B3:B8)/SUM(BQ4:BS4)*90</f>
        <v>19.923350126314723</v>
      </c>
      <c r="BT29" s="504">
        <f t="shared" si="0"/>
        <v>20.895412201100477</v>
      </c>
    </row>
    <row r="30" spans="1:73" x14ac:dyDescent="0.2">
      <c r="A30" s="217" t="s">
        <v>294</v>
      </c>
      <c r="B30" s="577"/>
      <c r="C30" s="555"/>
      <c r="D30" s="555"/>
      <c r="E30" s="555"/>
      <c r="F30" s="555"/>
      <c r="G30" s="555"/>
      <c r="H30" s="555"/>
      <c r="I30" s="555"/>
      <c r="J30" s="555"/>
      <c r="K30" s="555"/>
      <c r="L30" s="556"/>
      <c r="M30" s="556"/>
      <c r="N30" s="556"/>
      <c r="O30" s="557"/>
      <c r="P30" s="557"/>
      <c r="Q30" s="556"/>
      <c r="R30" s="556"/>
      <c r="S30" s="557"/>
      <c r="T30" s="556"/>
      <c r="U30" s="556"/>
      <c r="V30" s="558"/>
      <c r="W30" s="558"/>
      <c r="X30" s="558"/>
      <c r="Y30" s="558"/>
      <c r="Z30" s="555"/>
      <c r="AA30" s="555"/>
      <c r="AB30" s="555"/>
      <c r="AC30" s="555"/>
      <c r="AD30" s="555"/>
      <c r="AE30" s="555"/>
      <c r="AF30" s="555"/>
      <c r="AG30" s="555"/>
      <c r="AH30" s="555"/>
      <c r="AI30" s="558"/>
      <c r="AJ30" s="555"/>
      <c r="AK30" s="555"/>
      <c r="AL30" s="558"/>
      <c r="AM30" s="558"/>
      <c r="AN30" s="558"/>
      <c r="AO30" s="558"/>
      <c r="AP30" s="555"/>
      <c r="AQ30" s="558"/>
      <c r="AR30" s="558"/>
      <c r="AS30" s="555"/>
      <c r="AT30" s="558"/>
      <c r="AU30" s="558"/>
      <c r="AV30" s="558"/>
      <c r="AW30" s="555"/>
      <c r="AX30" s="555"/>
      <c r="AY30" s="555"/>
      <c r="AZ30" s="573"/>
      <c r="BA30" s="483"/>
      <c r="BB30" s="578"/>
      <c r="BC30" s="504"/>
      <c r="BD30" s="586"/>
      <c r="BE30" s="664"/>
      <c r="BF30" s="504"/>
      <c r="BG30" s="664"/>
      <c r="BH30" s="664">
        <v>1.7863998630964208</v>
      </c>
      <c r="BI30" s="504">
        <v>1.8214061537356354</v>
      </c>
      <c r="BJ30" s="504">
        <f>'AR - Market 1'!B117/SUM(BH4:BJ4)*90</f>
        <v>2.0334095958588416</v>
      </c>
      <c r="BK30" s="504">
        <f>'AR - Market 1'!B105/SUM(BI4:BK4)*90</f>
        <v>2.3451409162667516</v>
      </c>
      <c r="BL30" s="504">
        <f>'AR - Market 1'!B93/SUM(BJ4:BL4)*90</f>
        <v>2.073442882627528</v>
      </c>
      <c r="BM30" s="504">
        <f>'AR - Market 1'!B81/SUM(BK4:BM4)*90</f>
        <v>2.0292357365864389</v>
      </c>
      <c r="BN30" s="504">
        <f>'AR - Market 1'!B69/SUM(BL4:BN4)*90</f>
        <v>1.739611793069197</v>
      </c>
      <c r="BO30" s="504">
        <f>'AR - Market 1'!B57/SUM(BM4:BO4)*90</f>
        <v>0.74777968031662623</v>
      </c>
      <c r="BP30" s="504">
        <f>'AR - Market 1'!B45/SUM(BN4:BP4)*90</f>
        <v>0.91508337697229214</v>
      </c>
      <c r="BQ30" s="504">
        <f>'AR - Market 1'!B33/SUM(BO4:BQ4)*90</f>
        <v>0.93569871166315777</v>
      </c>
      <c r="BR30" s="504">
        <f>'AR - Market 1'!B21/SUM(BP4:BR4)*90</f>
        <v>0.99696693266347924</v>
      </c>
      <c r="BS30" s="732">
        <f>'AR - Market 1'!B9/SUM(BQ4:BS4)*90</f>
        <v>1.0918575760020581</v>
      </c>
      <c r="BT30" s="504">
        <f t="shared" si="0"/>
        <v>1.5430027682382026</v>
      </c>
    </row>
    <row r="31" spans="1:73" x14ac:dyDescent="0.2">
      <c r="A31" s="734" t="s">
        <v>154</v>
      </c>
      <c r="B31" s="735"/>
      <c r="C31" s="555">
        <f t="shared" ref="C31:AZ31" si="38">C19/(SUM(A5:C5)/90)</f>
        <v>49.583535108958841</v>
      </c>
      <c r="D31" s="555">
        <f t="shared" si="38"/>
        <v>45.258886767808704</v>
      </c>
      <c r="E31" s="555">
        <f t="shared" si="38"/>
        <v>34.768521665250631</v>
      </c>
      <c r="F31" s="555">
        <f t="shared" si="38"/>
        <v>34.109613491992484</v>
      </c>
      <c r="G31" s="555">
        <f t="shared" si="38"/>
        <v>44.887836520686989</v>
      </c>
      <c r="H31" s="555">
        <f t="shared" si="38"/>
        <v>63.52647325475975</v>
      </c>
      <c r="I31" s="555">
        <f t="shared" si="38"/>
        <v>71.079634643786477</v>
      </c>
      <c r="J31" s="555">
        <f t="shared" si="38"/>
        <v>53.132233208770124</v>
      </c>
      <c r="K31" s="555">
        <f t="shared" si="38"/>
        <v>54.373065023204745</v>
      </c>
      <c r="L31" s="555">
        <f t="shared" si="38"/>
        <v>45.012798301973383</v>
      </c>
      <c r="M31" s="555">
        <f t="shared" si="38"/>
        <v>33.300212830998341</v>
      </c>
      <c r="N31" s="555">
        <f t="shared" si="38"/>
        <v>39.27914705469744</v>
      </c>
      <c r="O31" s="555">
        <f t="shared" si="38"/>
        <v>37.260170453861498</v>
      </c>
      <c r="P31" s="555">
        <f t="shared" si="38"/>
        <v>37.308348683300444</v>
      </c>
      <c r="Q31" s="555">
        <f t="shared" si="38"/>
        <v>38.849617607985344</v>
      </c>
      <c r="R31" s="555">
        <f t="shared" si="38"/>
        <v>47.026262109453775</v>
      </c>
      <c r="S31" s="555">
        <f t="shared" si="38"/>
        <v>48.472375841102561</v>
      </c>
      <c r="T31" s="555">
        <f t="shared" si="38"/>
        <v>42.330936750683804</v>
      </c>
      <c r="U31" s="555">
        <f t="shared" si="38"/>
        <v>57.301698978192775</v>
      </c>
      <c r="V31" s="555">
        <f t="shared" si="38"/>
        <v>61.888838218394881</v>
      </c>
      <c r="W31" s="555">
        <f t="shared" si="38"/>
        <v>71.154433964101727</v>
      </c>
      <c r="X31" s="555">
        <f t="shared" si="38"/>
        <v>71.225905207626582</v>
      </c>
      <c r="Y31" s="555">
        <f t="shared" si="38"/>
        <v>81.779764375534114</v>
      </c>
      <c r="Z31" s="555">
        <f t="shared" si="38"/>
        <v>81.607157517632587</v>
      </c>
      <c r="AA31" s="555">
        <f t="shared" si="38"/>
        <v>49.64783778364172</v>
      </c>
      <c r="AB31" s="555">
        <f t="shared" si="38"/>
        <v>51.076345181233215</v>
      </c>
      <c r="AC31" s="555">
        <f t="shared" si="38"/>
        <v>55.0962269389574</v>
      </c>
      <c r="AD31" s="555">
        <f t="shared" si="38"/>
        <v>102.4998492667462</v>
      </c>
      <c r="AE31" s="555">
        <f t="shared" si="38"/>
        <v>124.40304607557786</v>
      </c>
      <c r="AF31" s="555">
        <f t="shared" si="38"/>
        <v>122.27476501084284</v>
      </c>
      <c r="AG31" s="555">
        <f t="shared" si="38"/>
        <v>140.427200387856</v>
      </c>
      <c r="AH31" s="555">
        <f t="shared" si="38"/>
        <v>152.23622848416113</v>
      </c>
      <c r="AI31" s="555">
        <f t="shared" si="38"/>
        <v>180.4820004743361</v>
      </c>
      <c r="AJ31" s="555">
        <f t="shared" si="38"/>
        <v>178.26406381547213</v>
      </c>
      <c r="AK31" s="555">
        <f t="shared" si="38"/>
        <v>198.54366778043058</v>
      </c>
      <c r="AL31" s="555">
        <f t="shared" si="38"/>
        <v>210.74002310735503</v>
      </c>
      <c r="AM31" s="555">
        <f t="shared" si="38"/>
        <v>199.93759156163597</v>
      </c>
      <c r="AN31" s="555">
        <f t="shared" si="38"/>
        <v>189.15897224115886</v>
      </c>
      <c r="AO31" s="555">
        <f t="shared" si="38"/>
        <v>196.18255865893599</v>
      </c>
      <c r="AP31" s="555">
        <f t="shared" si="38"/>
        <v>214.87455370523995</v>
      </c>
      <c r="AQ31" s="555">
        <f t="shared" si="38"/>
        <v>251.54685456152743</v>
      </c>
      <c r="AR31" s="555">
        <f t="shared" si="38"/>
        <v>256.04598912298104</v>
      </c>
      <c r="AS31" s="555">
        <f t="shared" si="38"/>
        <v>270.73403038522861</v>
      </c>
      <c r="AT31" s="555">
        <f t="shared" si="38"/>
        <v>275.65184398949947</v>
      </c>
      <c r="AU31" s="555">
        <f t="shared" si="38"/>
        <v>285.67784178016331</v>
      </c>
      <c r="AV31" s="555">
        <f t="shared" si="38"/>
        <v>299.60049833131973</v>
      </c>
      <c r="AW31" s="555">
        <f t="shared" si="38"/>
        <v>300.66147665978156</v>
      </c>
      <c r="AX31" s="555">
        <f t="shared" si="38"/>
        <v>303.38250532544907</v>
      </c>
      <c r="AY31" s="555">
        <f t="shared" si="38"/>
        <v>242.94268551151785</v>
      </c>
      <c r="AZ31" s="736">
        <f t="shared" si="38"/>
        <v>247.47792487492214</v>
      </c>
      <c r="BA31" s="504">
        <f>BA19/(SUM(AY5:BA5)/90)</f>
        <v>256.17440124510381</v>
      </c>
      <c r="BB31" s="578">
        <f t="shared" ref="BB31:BJ31" si="39">BB19/(SUM(AZ5:BB5)/90)</f>
        <v>318.62577103801277</v>
      </c>
      <c r="BC31" s="504">
        <f t="shared" si="39"/>
        <v>335.66512917746184</v>
      </c>
      <c r="BD31" s="578">
        <f t="shared" si="39"/>
        <v>343.70153377145783</v>
      </c>
      <c r="BE31" s="664">
        <f t="shared" si="39"/>
        <v>353.73153987861002</v>
      </c>
      <c r="BF31" s="504">
        <f t="shared" si="39"/>
        <v>341.39086590141341</v>
      </c>
      <c r="BG31" s="664">
        <v>144.31575962300064</v>
      </c>
      <c r="BH31" s="664">
        <v>120.79823303691653</v>
      </c>
      <c r="BI31" s="504">
        <v>122.51981944457333</v>
      </c>
      <c r="BJ31" s="504">
        <f t="shared" si="39"/>
        <v>113.63591153838055</v>
      </c>
      <c r="BK31" s="504">
        <f t="shared" ref="BK31" si="40">BK19/(SUM(BI5:BK5)/90)</f>
        <v>124.69568476571553</v>
      </c>
      <c r="BL31" s="504">
        <f t="shared" ref="BL31" si="41">BL19/(SUM(BJ5:BL5)/90)</f>
        <v>111.01435984152499</v>
      </c>
      <c r="BM31" s="504">
        <f t="shared" ref="BM31:BS31" si="42">BM19/(SUM(BK5:BM5)/90)</f>
        <v>103.56538148700214</v>
      </c>
      <c r="BN31" s="504">
        <f t="shared" si="42"/>
        <v>127.22868730316762</v>
      </c>
      <c r="BO31" s="504">
        <f t="shared" si="42"/>
        <v>111.11292212147772</v>
      </c>
      <c r="BP31" s="504">
        <f t="shared" si="42"/>
        <v>102.18540884906578</v>
      </c>
      <c r="BQ31" s="504">
        <f t="shared" si="42"/>
        <v>103.96062321069387</v>
      </c>
      <c r="BR31" s="504">
        <f t="shared" si="42"/>
        <v>103.79879179181046</v>
      </c>
      <c r="BS31" s="732">
        <f t="shared" si="42"/>
        <v>110.93443132345291</v>
      </c>
      <c r="BT31" s="504">
        <f t="shared" si="0"/>
        <v>112.95418789281511</v>
      </c>
    </row>
    <row r="32" spans="1:73" x14ac:dyDescent="0.2">
      <c r="A32" s="734" t="s">
        <v>292</v>
      </c>
      <c r="B32" s="737"/>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38"/>
      <c r="BA32" s="710"/>
      <c r="BB32" s="709"/>
      <c r="BC32" s="710"/>
      <c r="BD32" s="709"/>
      <c r="BE32" s="721"/>
      <c r="BF32" s="710"/>
      <c r="BG32" s="721"/>
      <c r="BH32" s="664">
        <v>60.724257564453566</v>
      </c>
      <c r="BI32" s="504">
        <v>63.321704562890083</v>
      </c>
      <c r="BJ32" s="504">
        <f>SUM('AR - Market 1'!D111:D116)/SUM(BH5:BJ5)*90</f>
        <v>51.690912078922928</v>
      </c>
      <c r="BK32" s="504">
        <f>SUM('AR - Market 1'!D99:D104)/SUM(BI5:BK5)*90</f>
        <v>60.082290590806174</v>
      </c>
      <c r="BL32" s="504">
        <f>SUM('AR - Market 1'!D87:D92)/SUM(BJ5:BL5)*90</f>
        <v>56.383303494452399</v>
      </c>
      <c r="BM32" s="504">
        <f>SUM('AR - Market 1'!D75:D80)/SUM(BK5:BM5)*90</f>
        <v>41.960509170951816</v>
      </c>
      <c r="BN32" s="504">
        <f>SUM('AR - Market 1'!D63:D68)/SUM(BL5:BN5)*90</f>
        <v>66.176644789822859</v>
      </c>
      <c r="BO32" s="504">
        <f>SUM('AR - Market 1'!D51:D56)/SUM(BM5:BO5)*90</f>
        <v>54.02002692835319</v>
      </c>
      <c r="BP32" s="504">
        <f>SUM('AR - Market 1'!D39:D44)/SUM(BN5:BP5)*90</f>
        <v>59.746745149762901</v>
      </c>
      <c r="BQ32" s="504">
        <f>SUM('AR - Market 1'!D27:D32)/SUM(BO5:BQ5)*90</f>
        <v>66.318160678066036</v>
      </c>
      <c r="BR32" s="504">
        <f>SUM('AR - Market 1'!D15:D20)/SUM(BP5:BR5)*90</f>
        <v>68.597040264028493</v>
      </c>
      <c r="BS32" s="732">
        <f>SUM('AR - Market 1'!D3:D8)/SUM(BQ5:BS5)*90</f>
        <v>73.940764227212213</v>
      </c>
      <c r="BT32" s="504">
        <f t="shared" si="0"/>
        <v>60.246863291643557</v>
      </c>
    </row>
    <row r="33" spans="1:72" x14ac:dyDescent="0.2">
      <c r="A33" s="734" t="s">
        <v>293</v>
      </c>
      <c r="B33" s="737"/>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38"/>
      <c r="BA33" s="710"/>
      <c r="BB33" s="709"/>
      <c r="BC33" s="710"/>
      <c r="BD33" s="709"/>
      <c r="BE33" s="721"/>
      <c r="BF33" s="710"/>
      <c r="BG33" s="721"/>
      <c r="BH33" s="664">
        <v>60.073649536676882</v>
      </c>
      <c r="BI33" s="504">
        <v>59.198114881683246</v>
      </c>
      <c r="BJ33" s="504">
        <f>'AR - Market 1'!D117/SUM(BH5:BJ5)*90</f>
        <v>61.944999459457641</v>
      </c>
      <c r="BK33" s="504">
        <f>'AR - Market 1'!D105/SUM(BI5:BK5)*90</f>
        <v>64.613394174909345</v>
      </c>
      <c r="BL33" s="504">
        <f>'AR - Market 1'!D93/SUM(BJ5:BL5)*90</f>
        <v>54.631056347072601</v>
      </c>
      <c r="BM33" s="504">
        <f>'AR - Market 1'!D81/SUM(BK5:BM5)*90</f>
        <v>61.604872316050319</v>
      </c>
      <c r="BN33" s="504">
        <f>'AR - Market 1'!D69/SUM(BL5:BN5)*90</f>
        <v>61.052042513344766</v>
      </c>
      <c r="BO33" s="504">
        <f>'AR - Market 1'!D57/SUM(BM5:BO5)*90</f>
        <v>57.092895193124519</v>
      </c>
      <c r="BP33" s="504">
        <f>'AR - Market 1'!D45/SUM(BN5:BP5)*90</f>
        <v>42.438663699302857</v>
      </c>
      <c r="BQ33" s="504">
        <f>'AR - Market 1'!D33/SUM(BO5:BQ5)*90</f>
        <v>37.642462532627817</v>
      </c>
      <c r="BR33" s="504">
        <f>'AR - Market 1'!D21/SUM(BP5:BR5)*90</f>
        <v>35.201751527781973</v>
      </c>
      <c r="BS33" s="732">
        <f>'AR - Market 1'!D9/SUM(BQ5:BS5)*90</f>
        <v>36.993667096240706</v>
      </c>
      <c r="BT33" s="504">
        <f t="shared" si="0"/>
        <v>52.70729743985607</v>
      </c>
    </row>
    <row r="34" spans="1:72" s="509" customFormat="1" ht="12.75" thickBot="1" x14ac:dyDescent="0.25">
      <c r="A34" s="529" t="s">
        <v>155</v>
      </c>
      <c r="B34" s="604"/>
      <c r="C34" s="605">
        <f t="shared" ref="C34:BS34" si="43">C8/(C4+C5-C10-C11)</f>
        <v>0</v>
      </c>
      <c r="D34" s="605">
        <f t="shared" si="43"/>
        <v>0</v>
      </c>
      <c r="E34" s="605">
        <f t="shared" si="43"/>
        <v>0</v>
      </c>
      <c r="F34" s="605">
        <f t="shared" si="43"/>
        <v>0</v>
      </c>
      <c r="G34" s="605">
        <f t="shared" si="43"/>
        <v>0</v>
      </c>
      <c r="H34" s="605">
        <f t="shared" si="43"/>
        <v>0</v>
      </c>
      <c r="I34" s="605">
        <f t="shared" si="43"/>
        <v>0</v>
      </c>
      <c r="J34" s="605">
        <f t="shared" si="43"/>
        <v>0</v>
      </c>
      <c r="K34" s="605">
        <f t="shared" si="43"/>
        <v>0</v>
      </c>
      <c r="L34" s="606">
        <f t="shared" si="43"/>
        <v>0</v>
      </c>
      <c r="M34" s="606">
        <f t="shared" si="43"/>
        <v>0</v>
      </c>
      <c r="N34" s="606">
        <f t="shared" si="43"/>
        <v>8.362033253064248E-3</v>
      </c>
      <c r="O34" s="607">
        <f t="shared" si="43"/>
        <v>2.29315633196902E-2</v>
      </c>
      <c r="P34" s="607">
        <f t="shared" si="43"/>
        <v>9.7650345872754771E-3</v>
      </c>
      <c r="Q34" s="606">
        <f t="shared" si="43"/>
        <v>1.5057122352288108E-3</v>
      </c>
      <c r="R34" s="606">
        <f t="shared" si="43"/>
        <v>1.58215076895434E-2</v>
      </c>
      <c r="S34" s="607">
        <f t="shared" si="43"/>
        <v>1.0321512126985557E-2</v>
      </c>
      <c r="T34" s="606">
        <f t="shared" si="43"/>
        <v>6.0059011394909198E-3</v>
      </c>
      <c r="U34" s="606">
        <f t="shared" si="43"/>
        <v>3.400880282212191E-2</v>
      </c>
      <c r="V34" s="608">
        <f t="shared" si="43"/>
        <v>2.7349846757378237E-2</v>
      </c>
      <c r="W34" s="608">
        <f t="shared" si="43"/>
        <v>3.5274954157786475E-3</v>
      </c>
      <c r="X34" s="608">
        <f t="shared" si="43"/>
        <v>2.0480768970641012E-2</v>
      </c>
      <c r="Y34" s="608">
        <f t="shared" si="43"/>
        <v>5.1083645724874747E-2</v>
      </c>
      <c r="Z34" s="605">
        <f t="shared" si="43"/>
        <v>6.8887041999836321E-2</v>
      </c>
      <c r="AA34" s="605">
        <f t="shared" si="43"/>
        <v>2.9611185862288621E-2</v>
      </c>
      <c r="AB34" s="605">
        <f t="shared" si="43"/>
        <v>1.468313681393925E-2</v>
      </c>
      <c r="AC34" s="605">
        <f t="shared" si="43"/>
        <v>2.9996616103576481E-2</v>
      </c>
      <c r="AD34" s="605">
        <f t="shared" si="43"/>
        <v>3.1739418155342682E-2</v>
      </c>
      <c r="AE34" s="605">
        <f t="shared" si="43"/>
        <v>2.3114940720005698E-2</v>
      </c>
      <c r="AF34" s="605">
        <f t="shared" si="43"/>
        <v>2.9572950080436259E-2</v>
      </c>
      <c r="AG34" s="605">
        <f t="shared" si="43"/>
        <v>2.1417716401887048E-2</v>
      </c>
      <c r="AH34" s="605">
        <f t="shared" si="43"/>
        <v>4.1948260180842224E-2</v>
      </c>
      <c r="AI34" s="608">
        <f t="shared" si="43"/>
        <v>4.7270267039670466E-2</v>
      </c>
      <c r="AJ34" s="609">
        <f t="shared" si="43"/>
        <v>2.4644111233219232E-2</v>
      </c>
      <c r="AK34" s="609">
        <f t="shared" si="43"/>
        <v>4.0901346931592496E-2</v>
      </c>
      <c r="AL34" s="609">
        <f t="shared" si="43"/>
        <v>2.4208553728202128E-2</v>
      </c>
      <c r="AM34" s="609">
        <f t="shared" si="43"/>
        <v>3.8369524954758365E-2</v>
      </c>
      <c r="AN34" s="609">
        <f t="shared" si="43"/>
        <v>2.2655153068301605E-2</v>
      </c>
      <c r="AO34" s="609">
        <f t="shared" si="43"/>
        <v>3.8266012903129976E-2</v>
      </c>
      <c r="AP34" s="609">
        <f t="shared" si="43"/>
        <v>3.2033570678930368E-2</v>
      </c>
      <c r="AQ34" s="609">
        <f t="shared" si="43"/>
        <v>3.8140259790045081E-2</v>
      </c>
      <c r="AR34" s="609">
        <f t="shared" si="43"/>
        <v>2.4403902934387923E-2</v>
      </c>
      <c r="AS34" s="609">
        <f t="shared" si="43"/>
        <v>2.1218268656204107E-2</v>
      </c>
      <c r="AT34" s="609">
        <f t="shared" si="43"/>
        <v>1.0861024837935584E-2</v>
      </c>
      <c r="AU34" s="609">
        <f t="shared" si="43"/>
        <v>2.353105871435611E-2</v>
      </c>
      <c r="AV34" s="609">
        <f t="shared" si="43"/>
        <v>4.8556084738386053E-2</v>
      </c>
      <c r="AW34" s="609">
        <f t="shared" si="43"/>
        <v>3.4900819854989357E-2</v>
      </c>
      <c r="AX34" s="609">
        <f t="shared" si="43"/>
        <v>4.7585792549306061E-2</v>
      </c>
      <c r="AY34" s="609">
        <f t="shared" si="43"/>
        <v>5.3619525259271439E-2</v>
      </c>
      <c r="AZ34" s="610">
        <f t="shared" si="43"/>
        <v>2.6294555637841225E-2</v>
      </c>
      <c r="BA34" s="593">
        <f t="shared" si="43"/>
        <v>3.1419898191035106E-2</v>
      </c>
      <c r="BB34" s="611">
        <f t="shared" si="43"/>
        <v>2.4578084359640352E-2</v>
      </c>
      <c r="BC34" s="594">
        <f t="shared" si="43"/>
        <v>3.2310715785969647E-2</v>
      </c>
      <c r="BD34" s="612">
        <f t="shared" si="43"/>
        <v>3.8447913593167578E-2</v>
      </c>
      <c r="BE34" s="665">
        <f t="shared" si="43"/>
        <v>3.6303587773582072E-2</v>
      </c>
      <c r="BF34" s="667">
        <f t="shared" si="43"/>
        <v>2.0292209801920816E-2</v>
      </c>
      <c r="BG34" s="719">
        <v>1.0160510549859383E-2</v>
      </c>
      <c r="BH34" s="719">
        <v>3.0444905105980798E-2</v>
      </c>
      <c r="BI34" s="667">
        <v>6.2781535404357255E-2</v>
      </c>
      <c r="BJ34" s="667">
        <f t="shared" si="43"/>
        <v>3.3949826108074711E-2</v>
      </c>
      <c r="BK34" s="667">
        <f t="shared" si="43"/>
        <v>0.17532400833958758</v>
      </c>
      <c r="BL34" s="667">
        <f t="shared" si="43"/>
        <v>6.410292676360331E-2</v>
      </c>
      <c r="BM34" s="667">
        <f t="shared" si="43"/>
        <v>4.3882988222184741E-2</v>
      </c>
      <c r="BN34" s="667">
        <f t="shared" si="43"/>
        <v>0.12330024947106608</v>
      </c>
      <c r="BO34" s="667">
        <f t="shared" si="43"/>
        <v>8.6574636371779326E-2</v>
      </c>
      <c r="BP34" s="667">
        <f t="shared" si="43"/>
        <v>6.5646518416008368E-2</v>
      </c>
      <c r="BQ34" s="667">
        <f t="shared" si="43"/>
        <v>6.6234653163711257E-2</v>
      </c>
      <c r="BR34" s="667">
        <f t="shared" si="43"/>
        <v>5.7424999969186007E-2</v>
      </c>
      <c r="BS34" s="733">
        <f t="shared" si="43"/>
        <v>5.2216333980070515E-2</v>
      </c>
      <c r="BT34" s="667">
        <f t="shared" si="0"/>
        <v>7.1823631776300828E-2</v>
      </c>
    </row>
    <row r="35" spans="1:72" x14ac:dyDescent="0.2">
      <c r="A35" s="510"/>
      <c r="B35" s="485"/>
      <c r="C35" s="487"/>
      <c r="D35" s="487"/>
      <c r="E35" s="487"/>
      <c r="F35" s="487"/>
      <c r="G35" s="487"/>
      <c r="H35" s="487"/>
      <c r="I35" s="487"/>
      <c r="J35" s="487"/>
      <c r="K35" s="487"/>
      <c r="L35" s="505"/>
      <c r="M35" s="505"/>
      <c r="N35" s="505"/>
      <c r="O35" s="506"/>
      <c r="P35" s="506"/>
      <c r="Q35" s="505"/>
      <c r="R35" s="505"/>
      <c r="S35" s="506"/>
      <c r="T35" s="505"/>
      <c r="U35" s="505"/>
      <c r="V35" s="486"/>
      <c r="W35" s="486"/>
      <c r="X35" s="486"/>
      <c r="Y35" s="486"/>
      <c r="Z35" s="487"/>
      <c r="AA35" s="487"/>
      <c r="AB35" s="487"/>
      <c r="AC35" s="487"/>
      <c r="AD35" s="487"/>
      <c r="AE35" s="487"/>
      <c r="AF35" s="487"/>
      <c r="AG35" s="487"/>
      <c r="AH35" s="487"/>
      <c r="AI35" s="486"/>
    </row>
    <row r="36" spans="1:72" ht="258.75" hidden="1" customHeight="1" x14ac:dyDescent="0.2">
      <c r="A36" s="510"/>
      <c r="B36" s="485"/>
      <c r="C36" s="487"/>
      <c r="D36" s="487"/>
      <c r="E36" s="487"/>
      <c r="F36" s="487"/>
      <c r="G36" s="487"/>
      <c r="H36" s="487"/>
      <c r="I36" s="487"/>
      <c r="J36" s="487"/>
      <c r="K36" s="487"/>
      <c r="L36" s="505"/>
      <c r="M36" s="505"/>
      <c r="N36" s="505"/>
      <c r="O36" s="506"/>
      <c r="P36" s="506"/>
      <c r="Q36" s="505"/>
      <c r="R36" s="505"/>
      <c r="S36" s="506"/>
      <c r="T36" s="505"/>
      <c r="U36" s="505"/>
      <c r="V36" s="486"/>
      <c r="W36" s="486"/>
      <c r="X36" s="486"/>
      <c r="Y36" s="486"/>
      <c r="Z36" s="487"/>
      <c r="AA36" s="487"/>
      <c r="AB36" s="487"/>
      <c r="AC36" s="487"/>
      <c r="AD36" s="487"/>
      <c r="AE36" s="487"/>
      <c r="AF36" s="487"/>
      <c r="AG36" s="487"/>
      <c r="AH36" s="487"/>
      <c r="AI36" s="486"/>
      <c r="AR36" s="895" t="s">
        <v>111</v>
      </c>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row>
    <row r="37" spans="1:72" ht="5.25" hidden="1" customHeight="1" x14ac:dyDescent="0.2">
      <c r="A37" s="510"/>
      <c r="B37" s="485"/>
      <c r="C37" s="487"/>
      <c r="D37" s="487"/>
      <c r="E37" s="487"/>
      <c r="F37" s="487"/>
      <c r="G37" s="487"/>
      <c r="H37" s="487"/>
      <c r="I37" s="487"/>
      <c r="J37" s="487"/>
      <c r="K37" s="487"/>
      <c r="L37" s="505"/>
      <c r="M37" s="505"/>
      <c r="N37" s="505"/>
      <c r="O37" s="506"/>
      <c r="P37" s="506"/>
      <c r="Q37" s="505"/>
      <c r="R37" s="505"/>
      <c r="S37" s="506"/>
      <c r="T37" s="505"/>
      <c r="U37" s="505"/>
      <c r="V37" s="486"/>
      <c r="W37" s="486"/>
      <c r="X37" s="486"/>
      <c r="Y37" s="486"/>
      <c r="Z37" s="487"/>
      <c r="AA37" s="487"/>
      <c r="AB37" s="487"/>
      <c r="AC37" s="487"/>
      <c r="AD37" s="487"/>
      <c r="AE37" s="487"/>
      <c r="AF37" s="487"/>
      <c r="AG37" s="487"/>
      <c r="AH37" s="487"/>
      <c r="AI37" s="486"/>
    </row>
    <row r="38" spans="1:72" ht="239.25" hidden="1" customHeight="1" x14ac:dyDescent="0.2">
      <c r="A38" s="510"/>
      <c r="B38" s="485"/>
      <c r="C38" s="487"/>
      <c r="D38" s="487"/>
      <c r="E38" s="487"/>
      <c r="F38" s="487"/>
      <c r="G38" s="487"/>
      <c r="H38" s="487"/>
      <c r="I38" s="487"/>
      <c r="J38" s="487"/>
      <c r="K38" s="487"/>
      <c r="L38" s="505"/>
      <c r="M38" s="505"/>
      <c r="N38" s="505"/>
      <c r="O38" s="506"/>
      <c r="P38" s="506"/>
      <c r="Q38" s="505"/>
      <c r="R38" s="505"/>
      <c r="S38" s="506"/>
      <c r="T38" s="505"/>
      <c r="U38" s="505"/>
      <c r="V38" s="486"/>
      <c r="W38" s="486"/>
      <c r="X38" s="486"/>
      <c r="Y38" s="486"/>
      <c r="Z38" s="487"/>
      <c r="AA38" s="487"/>
      <c r="AB38" s="487"/>
      <c r="AC38" s="487"/>
      <c r="AD38" s="487"/>
      <c r="AE38" s="487"/>
      <c r="AF38" s="487"/>
      <c r="AG38" s="487"/>
      <c r="AH38" s="487"/>
      <c r="AI38" s="486"/>
      <c r="AP38" s="897" t="s">
        <v>109</v>
      </c>
      <c r="AQ38" s="897"/>
      <c r="AR38" s="897"/>
      <c r="AS38" s="897"/>
      <c r="AT38" s="897"/>
      <c r="AU38" s="897"/>
      <c r="AV38" s="897"/>
      <c r="AW38" s="897"/>
      <c r="AX38" s="897"/>
      <c r="AY38" s="897"/>
      <c r="AZ38" s="897"/>
      <c r="BA38" s="897"/>
      <c r="BB38" s="897"/>
      <c r="BC38" s="897"/>
      <c r="BD38" s="897"/>
      <c r="BE38" s="897"/>
      <c r="BF38" s="897"/>
      <c r="BG38" s="897"/>
      <c r="BH38" s="897"/>
      <c r="BI38" s="897"/>
      <c r="BJ38" s="897"/>
      <c r="BK38" s="897"/>
      <c r="BL38" s="897"/>
      <c r="BM38" s="897"/>
      <c r="BN38" s="897"/>
      <c r="BO38" s="897"/>
      <c r="BP38" s="897"/>
      <c r="BQ38" s="897"/>
      <c r="BR38" s="897"/>
      <c r="BS38" s="897"/>
      <c r="BT38" s="897"/>
    </row>
    <row r="39" spans="1:72" ht="36.75" hidden="1" customHeight="1" x14ac:dyDescent="0.2">
      <c r="A39" s="510"/>
      <c r="B39" s="485"/>
      <c r="C39" s="487"/>
      <c r="D39" s="487"/>
      <c r="E39" s="487"/>
      <c r="F39" s="487"/>
      <c r="G39" s="487"/>
      <c r="H39" s="487"/>
      <c r="I39" s="487"/>
      <c r="J39" s="487"/>
      <c r="K39" s="487"/>
      <c r="L39" s="505"/>
      <c r="M39" s="505"/>
      <c r="N39" s="505"/>
      <c r="O39" s="506"/>
      <c r="P39" s="506"/>
      <c r="Q39" s="505"/>
      <c r="R39" s="505"/>
      <c r="S39" s="506"/>
      <c r="T39" s="505"/>
      <c r="U39" s="505"/>
      <c r="V39" s="486"/>
      <c r="W39" s="486"/>
      <c r="X39" s="486"/>
      <c r="Y39" s="486"/>
      <c r="Z39" s="487"/>
      <c r="AA39" s="487"/>
      <c r="AB39" s="487"/>
      <c r="AC39" s="487"/>
      <c r="AD39" s="487"/>
      <c r="AE39" s="487"/>
      <c r="AF39" s="487"/>
      <c r="AG39" s="487"/>
      <c r="AH39" s="487"/>
      <c r="AI39" s="486"/>
      <c r="AM39" s="897" t="s">
        <v>107</v>
      </c>
      <c r="AN39" s="897"/>
      <c r="AO39" s="897"/>
      <c r="AP39" s="897"/>
      <c r="AQ39" s="897"/>
      <c r="AR39" s="897"/>
      <c r="AS39" s="897"/>
      <c r="AT39" s="897"/>
      <c r="AU39" s="897"/>
      <c r="AV39" s="897"/>
      <c r="AW39" s="897"/>
      <c r="AX39" s="897"/>
      <c r="AY39" s="897"/>
      <c r="AZ39" s="897"/>
      <c r="BA39" s="897"/>
      <c r="BB39" s="897"/>
      <c r="BC39" s="897"/>
      <c r="BD39" s="897"/>
      <c r="BE39" s="897"/>
      <c r="BF39" s="897"/>
      <c r="BG39" s="897"/>
      <c r="BH39" s="897"/>
      <c r="BI39" s="897"/>
      <c r="BJ39" s="897"/>
      <c r="BK39" s="897"/>
      <c r="BL39" s="897"/>
      <c r="BM39" s="897"/>
      <c r="BN39" s="897"/>
      <c r="BO39" s="897"/>
      <c r="BP39" s="897"/>
      <c r="BQ39" s="897"/>
      <c r="BR39" s="897"/>
      <c r="BS39" s="897"/>
      <c r="BT39" s="897"/>
    </row>
    <row r="40" spans="1:72" hidden="1" x14ac:dyDescent="0.2">
      <c r="A40" s="510"/>
      <c r="B40" s="485"/>
      <c r="C40" s="487"/>
      <c r="D40" s="487"/>
      <c r="E40" s="487"/>
      <c r="F40" s="487"/>
      <c r="G40" s="487"/>
      <c r="H40" s="487"/>
      <c r="I40" s="487"/>
      <c r="J40" s="487"/>
      <c r="K40" s="487"/>
      <c r="L40" s="505"/>
      <c r="M40" s="505"/>
      <c r="N40" s="505"/>
      <c r="O40" s="506"/>
      <c r="P40" s="506"/>
      <c r="Q40" s="505"/>
      <c r="R40" s="505"/>
      <c r="S40" s="506"/>
      <c r="T40" s="505"/>
      <c r="U40" s="505"/>
      <c r="V40" s="486"/>
      <c r="W40" s="486"/>
      <c r="X40" s="486"/>
      <c r="Y40" s="486"/>
      <c r="Z40" s="487"/>
      <c r="AA40" s="487"/>
      <c r="AB40" s="487"/>
      <c r="AC40" s="487"/>
      <c r="AD40" s="487"/>
      <c r="AE40" s="487"/>
      <c r="AF40" s="487"/>
      <c r="AG40" s="487"/>
      <c r="AH40" s="487"/>
      <c r="AI40" s="486"/>
    </row>
    <row r="41" spans="1:72" ht="69.75" hidden="1" customHeight="1" x14ac:dyDescent="0.2">
      <c r="A41" s="510"/>
      <c r="B41" s="485"/>
      <c r="C41" s="487"/>
      <c r="D41" s="487"/>
      <c r="E41" s="487"/>
      <c r="F41" s="487"/>
      <c r="G41" s="487"/>
      <c r="H41" s="487"/>
      <c r="I41" s="487"/>
      <c r="J41" s="487"/>
      <c r="K41" s="487"/>
      <c r="L41" s="505"/>
      <c r="M41" s="505"/>
      <c r="N41" s="505"/>
      <c r="O41" s="506"/>
      <c r="P41" s="506"/>
      <c r="Q41" s="505"/>
      <c r="R41" s="505"/>
      <c r="S41" s="506"/>
      <c r="T41" s="505"/>
      <c r="U41" s="505"/>
      <c r="V41" s="486"/>
      <c r="W41" s="486"/>
      <c r="X41" s="486"/>
      <c r="Y41" s="486"/>
      <c r="Z41" s="487"/>
      <c r="AA41" s="487"/>
      <c r="AB41" s="487"/>
      <c r="AC41" s="487"/>
      <c r="AD41" s="487"/>
      <c r="AE41" s="487"/>
      <c r="AF41" s="487"/>
      <c r="AG41" s="487"/>
      <c r="AH41" s="487"/>
      <c r="AI41" s="486"/>
      <c r="AM41" s="897" t="s">
        <v>105</v>
      </c>
      <c r="AN41" s="897"/>
      <c r="AO41" s="897"/>
      <c r="AP41" s="897"/>
      <c r="AQ41" s="897"/>
      <c r="AR41" s="897"/>
      <c r="AS41" s="897"/>
      <c r="AT41" s="897"/>
      <c r="AU41" s="897"/>
      <c r="AV41" s="897"/>
      <c r="AW41" s="897"/>
      <c r="AX41" s="897"/>
      <c r="AY41" s="897"/>
      <c r="AZ41" s="897"/>
      <c r="BA41" s="897"/>
      <c r="BB41" s="897"/>
      <c r="BC41" s="897"/>
      <c r="BD41" s="897"/>
      <c r="BE41" s="897"/>
      <c r="BF41" s="897"/>
      <c r="BG41" s="897"/>
      <c r="BH41" s="897"/>
      <c r="BI41" s="897"/>
      <c r="BJ41" s="897"/>
      <c r="BK41" s="897"/>
      <c r="BL41" s="897"/>
      <c r="BM41" s="897"/>
      <c r="BN41" s="897"/>
      <c r="BO41" s="897"/>
      <c r="BP41" s="897"/>
      <c r="BQ41" s="897"/>
      <c r="BR41" s="897"/>
      <c r="BS41" s="897"/>
      <c r="BT41" s="897"/>
    </row>
    <row r="42" spans="1:72" hidden="1" x14ac:dyDescent="0.2">
      <c r="A42" s="510"/>
      <c r="B42" s="485"/>
      <c r="C42" s="487"/>
      <c r="D42" s="487"/>
      <c r="E42" s="487"/>
      <c r="F42" s="487"/>
      <c r="G42" s="487"/>
      <c r="H42" s="487"/>
      <c r="I42" s="487"/>
      <c r="J42" s="487"/>
      <c r="K42" s="487"/>
      <c r="L42" s="505"/>
      <c r="M42" s="505"/>
      <c r="N42" s="505"/>
      <c r="O42" s="506"/>
      <c r="P42" s="506"/>
      <c r="Q42" s="505"/>
      <c r="R42" s="505"/>
      <c r="S42" s="506"/>
      <c r="T42" s="505"/>
      <c r="U42" s="505"/>
      <c r="V42" s="486"/>
      <c r="W42" s="486"/>
      <c r="X42" s="486"/>
      <c r="Y42" s="486"/>
      <c r="Z42" s="487"/>
      <c r="AA42" s="487"/>
      <c r="AB42" s="487"/>
      <c r="AC42" s="487"/>
      <c r="AD42" s="487"/>
      <c r="AE42" s="487"/>
      <c r="AF42" s="487"/>
      <c r="AG42" s="487"/>
      <c r="AH42" s="487"/>
      <c r="AI42" s="486"/>
    </row>
    <row r="43" spans="1:72" ht="149.25" hidden="1" customHeight="1" x14ac:dyDescent="0.2">
      <c r="A43" s="510"/>
      <c r="B43" s="485"/>
      <c r="C43" s="487"/>
      <c r="D43" s="487"/>
      <c r="E43" s="487"/>
      <c r="F43" s="487"/>
      <c r="G43" s="487"/>
      <c r="H43" s="487"/>
      <c r="I43" s="487"/>
      <c r="J43" s="487"/>
      <c r="K43" s="487"/>
      <c r="L43" s="505"/>
      <c r="M43" s="505"/>
      <c r="N43" s="505"/>
      <c r="O43" s="506"/>
      <c r="P43" s="506"/>
      <c r="Q43" s="505"/>
      <c r="R43" s="505"/>
      <c r="S43" s="506"/>
      <c r="T43" s="505"/>
      <c r="U43" s="505"/>
      <c r="V43" s="486"/>
      <c r="W43" s="486"/>
      <c r="X43" s="486"/>
      <c r="Y43" s="486"/>
      <c r="Z43" s="487"/>
      <c r="AA43" s="487"/>
      <c r="AB43" s="487"/>
      <c r="AC43" s="487"/>
      <c r="AD43" s="487"/>
      <c r="AE43" s="487"/>
      <c r="AF43" s="487"/>
      <c r="AG43" s="487"/>
      <c r="AH43" s="487"/>
      <c r="AI43" s="486"/>
      <c r="AM43" s="897" t="s">
        <v>103</v>
      </c>
      <c r="AN43" s="897"/>
      <c r="AO43" s="897"/>
      <c r="AP43" s="897"/>
      <c r="AQ43" s="897"/>
      <c r="AR43" s="897"/>
      <c r="AS43" s="897"/>
      <c r="AT43" s="897"/>
      <c r="AU43" s="897"/>
      <c r="AV43" s="897"/>
      <c r="AW43" s="897"/>
      <c r="AX43" s="897"/>
      <c r="AY43" s="897"/>
      <c r="AZ43" s="897"/>
      <c r="BA43" s="897"/>
      <c r="BB43" s="897"/>
      <c r="BC43" s="897"/>
      <c r="BD43" s="897"/>
      <c r="BE43" s="897"/>
      <c r="BF43" s="897"/>
      <c r="BG43" s="897"/>
      <c r="BH43" s="897"/>
      <c r="BI43" s="897"/>
      <c r="BJ43" s="897"/>
      <c r="BK43" s="897"/>
      <c r="BL43" s="897"/>
      <c r="BM43" s="897"/>
      <c r="BN43" s="897"/>
      <c r="BO43" s="897"/>
      <c r="BP43" s="897"/>
      <c r="BQ43" s="897"/>
      <c r="BR43" s="897"/>
      <c r="BS43" s="897"/>
      <c r="BT43" s="897"/>
    </row>
    <row r="44" spans="1:72" hidden="1" x14ac:dyDescent="0.2">
      <c r="A44" s="510"/>
      <c r="B44" s="485"/>
      <c r="C44" s="487"/>
      <c r="D44" s="487"/>
      <c r="E44" s="487"/>
      <c r="F44" s="487"/>
      <c r="G44" s="487"/>
      <c r="H44" s="487"/>
      <c r="I44" s="487"/>
      <c r="J44" s="487"/>
      <c r="K44" s="487"/>
      <c r="L44" s="505"/>
      <c r="M44" s="505"/>
      <c r="N44" s="505"/>
      <c r="O44" s="506"/>
      <c r="P44" s="506"/>
      <c r="Q44" s="505"/>
      <c r="R44" s="505"/>
      <c r="S44" s="506"/>
      <c r="T44" s="505"/>
      <c r="U44" s="505"/>
      <c r="V44" s="486"/>
      <c r="W44" s="486"/>
      <c r="X44" s="486"/>
      <c r="Y44" s="486"/>
      <c r="Z44" s="487"/>
      <c r="AA44" s="487"/>
      <c r="AB44" s="487"/>
      <c r="AC44" s="487"/>
      <c r="AD44" s="487"/>
      <c r="AE44" s="487"/>
      <c r="AF44" s="487"/>
      <c r="AG44" s="487"/>
      <c r="AH44" s="487"/>
      <c r="AI44" s="486"/>
    </row>
    <row r="45" spans="1:72" ht="52.5" hidden="1" customHeight="1" x14ac:dyDescent="0.2">
      <c r="A45" s="510"/>
      <c r="B45" s="485"/>
      <c r="C45" s="487"/>
      <c r="D45" s="487"/>
      <c r="E45" s="487"/>
      <c r="F45" s="487"/>
      <c r="G45" s="487"/>
      <c r="H45" s="487"/>
      <c r="I45" s="487"/>
      <c r="J45" s="487"/>
      <c r="K45" s="487"/>
      <c r="L45" s="505"/>
      <c r="M45" s="505"/>
      <c r="N45" s="505"/>
      <c r="O45" s="506"/>
      <c r="P45" s="506"/>
      <c r="Q45" s="505"/>
      <c r="R45" s="505"/>
      <c r="S45" s="506"/>
      <c r="T45" s="505"/>
      <c r="U45" s="505"/>
      <c r="V45" s="486"/>
      <c r="W45" s="486"/>
      <c r="X45" s="486"/>
      <c r="Y45" s="486"/>
      <c r="Z45" s="487"/>
      <c r="AA45" s="487"/>
      <c r="AB45" s="487"/>
      <c r="AC45" s="487"/>
      <c r="AD45" s="487"/>
      <c r="AE45" s="487"/>
      <c r="AF45" s="487"/>
      <c r="AG45" s="487"/>
      <c r="AH45" s="487"/>
      <c r="AI45" s="486"/>
      <c r="AM45" s="897" t="s">
        <v>102</v>
      </c>
      <c r="AN45" s="897"/>
      <c r="AO45" s="897"/>
      <c r="AP45" s="897"/>
      <c r="AQ45" s="897"/>
      <c r="AR45" s="897"/>
      <c r="AS45" s="897"/>
      <c r="AT45" s="897"/>
      <c r="AU45" s="897"/>
      <c r="AV45" s="897"/>
      <c r="AW45" s="897"/>
      <c r="AX45" s="897"/>
      <c r="AY45" s="897"/>
      <c r="AZ45" s="897"/>
      <c r="BA45" s="897"/>
      <c r="BB45" s="897"/>
      <c r="BC45" s="897"/>
      <c r="BD45" s="897"/>
      <c r="BE45" s="897"/>
      <c r="BF45" s="897"/>
      <c r="BG45" s="897"/>
      <c r="BH45" s="897"/>
      <c r="BI45" s="897"/>
      <c r="BJ45" s="897"/>
      <c r="BK45" s="897"/>
      <c r="BL45" s="897"/>
      <c r="BM45" s="897"/>
      <c r="BN45" s="897"/>
      <c r="BO45" s="897"/>
      <c r="BP45" s="897"/>
      <c r="BQ45" s="897"/>
      <c r="BR45" s="897"/>
      <c r="BS45" s="897"/>
      <c r="BT45" s="897"/>
    </row>
    <row r="46" spans="1:72" hidden="1" x14ac:dyDescent="0.2">
      <c r="A46" s="510"/>
      <c r="B46" s="485"/>
      <c r="C46" s="487"/>
      <c r="D46" s="487"/>
      <c r="E46" s="487"/>
      <c r="F46" s="487"/>
      <c r="G46" s="487"/>
      <c r="H46" s="487"/>
      <c r="I46" s="487"/>
      <c r="J46" s="487"/>
      <c r="K46" s="487"/>
      <c r="L46" s="505"/>
      <c r="M46" s="505"/>
      <c r="N46" s="505"/>
      <c r="O46" s="506"/>
      <c r="P46" s="506"/>
      <c r="Q46" s="505"/>
      <c r="R46" s="505"/>
      <c r="S46" s="506"/>
      <c r="T46" s="505"/>
      <c r="U46" s="505"/>
      <c r="V46" s="486"/>
      <c r="W46" s="486"/>
      <c r="X46" s="486"/>
      <c r="Y46" s="486"/>
      <c r="Z46" s="487"/>
      <c r="AA46" s="487"/>
      <c r="AB46" s="487"/>
      <c r="AC46" s="487"/>
      <c r="AD46" s="487"/>
      <c r="AE46" s="487"/>
      <c r="AF46" s="487"/>
      <c r="AG46" s="487"/>
      <c r="AH46" s="487"/>
      <c r="AI46" s="486"/>
    </row>
    <row r="47" spans="1:72" ht="102" hidden="1" customHeight="1" x14ac:dyDescent="0.2">
      <c r="A47" s="510"/>
      <c r="B47" s="485"/>
      <c r="C47" s="487"/>
      <c r="D47" s="487"/>
      <c r="E47" s="487"/>
      <c r="F47" s="487"/>
      <c r="G47" s="487"/>
      <c r="H47" s="487"/>
      <c r="I47" s="487"/>
      <c r="J47" s="487"/>
      <c r="K47" s="487"/>
      <c r="L47" s="505"/>
      <c r="M47" s="505"/>
      <c r="N47" s="505"/>
      <c r="O47" s="506"/>
      <c r="P47" s="506"/>
      <c r="Q47" s="505"/>
      <c r="R47" s="505"/>
      <c r="S47" s="506"/>
      <c r="T47" s="505"/>
      <c r="U47" s="505"/>
      <c r="V47" s="486"/>
      <c r="W47" s="486"/>
      <c r="X47" s="486"/>
      <c r="Y47" s="486"/>
      <c r="Z47" s="487"/>
      <c r="AA47" s="487"/>
      <c r="AB47" s="487"/>
      <c r="AC47" s="487"/>
      <c r="AD47" s="487"/>
      <c r="AE47" s="487"/>
      <c r="AF47" s="487"/>
      <c r="AG47" s="487"/>
      <c r="AH47" s="487"/>
      <c r="AI47" s="486"/>
      <c r="AM47" s="892" t="s">
        <v>99</v>
      </c>
      <c r="AN47" s="893"/>
      <c r="AO47" s="893"/>
      <c r="AP47" s="893"/>
      <c r="AQ47" s="893"/>
      <c r="AR47" s="893"/>
      <c r="AS47" s="893"/>
      <c r="AT47" s="893"/>
      <c r="AU47" s="893"/>
      <c r="AV47" s="893"/>
      <c r="AW47" s="893"/>
      <c r="AX47" s="893"/>
      <c r="AY47" s="893"/>
      <c r="AZ47" s="893"/>
      <c r="BA47" s="893"/>
      <c r="BB47" s="893"/>
      <c r="BC47" s="893"/>
      <c r="BD47" s="893"/>
      <c r="BE47" s="893"/>
      <c r="BF47" s="893"/>
      <c r="BG47" s="893"/>
      <c r="BH47" s="893"/>
      <c r="BI47" s="893"/>
      <c r="BJ47" s="893"/>
      <c r="BK47" s="893"/>
      <c r="BL47" s="893"/>
      <c r="BM47" s="893"/>
      <c r="BN47" s="893"/>
      <c r="BO47" s="893"/>
      <c r="BP47" s="893"/>
      <c r="BQ47" s="893"/>
      <c r="BR47" s="893"/>
      <c r="BS47" s="893"/>
      <c r="BT47" s="894"/>
    </row>
    <row r="48" spans="1:72" hidden="1" x14ac:dyDescent="0.2">
      <c r="A48" s="510"/>
      <c r="B48" s="485"/>
      <c r="C48" s="487"/>
      <c r="D48" s="487"/>
      <c r="E48" s="487"/>
      <c r="F48" s="487"/>
      <c r="G48" s="487"/>
      <c r="H48" s="487"/>
      <c r="I48" s="487"/>
      <c r="J48" s="487"/>
      <c r="K48" s="487"/>
      <c r="L48" s="505"/>
      <c r="M48" s="505"/>
      <c r="N48" s="505"/>
      <c r="O48" s="506"/>
      <c r="P48" s="506"/>
      <c r="Q48" s="505"/>
      <c r="R48" s="505"/>
      <c r="S48" s="506"/>
      <c r="T48" s="505"/>
      <c r="U48" s="505"/>
      <c r="V48" s="486"/>
      <c r="W48" s="486"/>
      <c r="X48" s="486"/>
      <c r="Y48" s="486"/>
      <c r="Z48" s="487"/>
      <c r="AA48" s="487"/>
      <c r="AB48" s="487"/>
      <c r="AC48" s="487"/>
      <c r="AD48" s="487"/>
      <c r="AE48" s="487"/>
      <c r="AF48" s="487"/>
      <c r="AG48" s="487"/>
      <c r="AH48" s="487"/>
      <c r="AI48" s="486"/>
      <c r="AM48" s="511"/>
    </row>
    <row r="49" spans="1:74" ht="75.75" hidden="1" customHeight="1" x14ac:dyDescent="0.2">
      <c r="A49" s="510"/>
      <c r="B49" s="485"/>
      <c r="C49" s="487"/>
      <c r="D49" s="487"/>
      <c r="E49" s="487"/>
      <c r="F49" s="487"/>
      <c r="G49" s="487"/>
      <c r="H49" s="487"/>
      <c r="I49" s="487"/>
      <c r="J49" s="487"/>
      <c r="K49" s="487"/>
      <c r="L49" s="505"/>
      <c r="M49" s="505"/>
      <c r="N49" s="505"/>
      <c r="O49" s="506"/>
      <c r="P49" s="506"/>
      <c r="Q49" s="505"/>
      <c r="R49" s="505"/>
      <c r="S49" s="506"/>
      <c r="T49" s="505"/>
      <c r="U49" s="505"/>
      <c r="V49" s="486"/>
      <c r="W49" s="486"/>
      <c r="X49" s="486"/>
      <c r="Y49" s="486"/>
      <c r="Z49" s="487"/>
      <c r="AA49" s="487"/>
      <c r="AB49" s="487"/>
      <c r="AC49" s="487"/>
      <c r="AD49" s="487"/>
      <c r="AE49" s="487"/>
      <c r="AF49" s="487"/>
      <c r="AG49" s="487"/>
      <c r="AH49" s="487"/>
      <c r="AI49" s="486"/>
      <c r="AM49" s="892" t="s">
        <v>98</v>
      </c>
      <c r="AN49" s="893"/>
      <c r="AO49" s="893"/>
      <c r="AP49" s="893"/>
      <c r="AQ49" s="893"/>
      <c r="AR49" s="893"/>
      <c r="AS49" s="893"/>
      <c r="AT49" s="893"/>
      <c r="AU49" s="893"/>
      <c r="AV49" s="893"/>
      <c r="AW49" s="893"/>
      <c r="AX49" s="893"/>
      <c r="AY49" s="893"/>
      <c r="AZ49" s="893"/>
      <c r="BA49" s="893"/>
      <c r="BB49" s="893"/>
      <c r="BC49" s="893"/>
      <c r="BD49" s="893"/>
      <c r="BE49" s="893"/>
      <c r="BF49" s="893"/>
      <c r="BG49" s="893"/>
      <c r="BH49" s="893"/>
      <c r="BI49" s="893"/>
      <c r="BJ49" s="893"/>
      <c r="BK49" s="893"/>
      <c r="BL49" s="893"/>
      <c r="BM49" s="893"/>
      <c r="BN49" s="893"/>
      <c r="BO49" s="893"/>
      <c r="BP49" s="893"/>
      <c r="BQ49" s="893"/>
      <c r="BR49" s="893"/>
      <c r="BS49" s="893"/>
      <c r="BT49" s="894"/>
      <c r="BV49" s="467" t="s">
        <v>241</v>
      </c>
    </row>
    <row r="50" spans="1:74" hidden="1" x14ac:dyDescent="0.2">
      <c r="A50" s="510"/>
      <c r="B50" s="485"/>
      <c r="C50" s="487"/>
      <c r="D50" s="487"/>
      <c r="E50" s="487"/>
      <c r="F50" s="487"/>
      <c r="G50" s="487"/>
      <c r="H50" s="487"/>
      <c r="I50" s="487"/>
      <c r="J50" s="487"/>
      <c r="K50" s="487"/>
      <c r="L50" s="505"/>
      <c r="M50" s="505"/>
      <c r="N50" s="505"/>
      <c r="O50" s="506"/>
      <c r="P50" s="506"/>
      <c r="Q50" s="505"/>
      <c r="R50" s="505"/>
      <c r="S50" s="506"/>
      <c r="T50" s="505"/>
      <c r="U50" s="505"/>
      <c r="V50" s="486"/>
      <c r="W50" s="486"/>
      <c r="X50" s="486"/>
      <c r="Y50" s="486"/>
      <c r="Z50" s="487"/>
      <c r="AA50" s="487"/>
      <c r="AB50" s="487"/>
      <c r="AC50" s="487"/>
      <c r="AD50" s="487"/>
      <c r="AE50" s="487"/>
      <c r="AF50" s="487"/>
      <c r="AG50" s="487"/>
      <c r="AH50" s="487"/>
      <c r="AI50" s="486"/>
      <c r="AM50" s="511"/>
    </row>
    <row r="51" spans="1:74" ht="39.950000000000003" hidden="1" customHeight="1" x14ac:dyDescent="0.2">
      <c r="A51" s="510"/>
      <c r="B51" s="485"/>
      <c r="C51" s="487"/>
      <c r="D51" s="487"/>
      <c r="E51" s="487"/>
      <c r="F51" s="487"/>
      <c r="G51" s="487"/>
      <c r="H51" s="487"/>
      <c r="I51" s="487"/>
      <c r="J51" s="487"/>
      <c r="K51" s="487"/>
      <c r="L51" s="505"/>
      <c r="M51" s="505"/>
      <c r="N51" s="505"/>
      <c r="O51" s="506"/>
      <c r="P51" s="506"/>
      <c r="Q51" s="505"/>
      <c r="R51" s="505"/>
      <c r="S51" s="506"/>
      <c r="T51" s="505"/>
      <c r="U51" s="505"/>
      <c r="V51" s="486"/>
      <c r="W51" s="486"/>
      <c r="X51" s="486"/>
      <c r="Y51" s="486"/>
      <c r="Z51" s="487"/>
      <c r="AC51" s="467"/>
      <c r="AG51" s="467"/>
      <c r="AH51" s="467"/>
      <c r="AM51" s="892" t="s">
        <v>73</v>
      </c>
      <c r="AN51" s="893"/>
      <c r="AO51" s="893"/>
      <c r="AP51" s="893"/>
      <c r="AQ51" s="893"/>
      <c r="AR51" s="893"/>
      <c r="AS51" s="893"/>
      <c r="AT51" s="893"/>
      <c r="AU51" s="893"/>
      <c r="AV51" s="893"/>
      <c r="AW51" s="893"/>
      <c r="AX51" s="893"/>
      <c r="AY51" s="893"/>
      <c r="AZ51" s="893"/>
      <c r="BA51" s="893"/>
      <c r="BB51" s="893"/>
      <c r="BC51" s="893"/>
      <c r="BD51" s="893"/>
      <c r="BE51" s="893"/>
      <c r="BF51" s="893"/>
      <c r="BG51" s="893"/>
      <c r="BH51" s="893"/>
      <c r="BI51" s="893"/>
      <c r="BJ51" s="893"/>
      <c r="BK51" s="893"/>
      <c r="BL51" s="893"/>
      <c r="BM51" s="893"/>
      <c r="BN51" s="893"/>
      <c r="BO51" s="893"/>
      <c r="BP51" s="893"/>
      <c r="BQ51" s="893"/>
      <c r="BR51" s="893"/>
      <c r="BS51" s="893"/>
      <c r="BT51" s="894"/>
      <c r="BU51" s="511"/>
    </row>
    <row r="52" spans="1:74" hidden="1" x14ac:dyDescent="0.2">
      <c r="A52" s="510"/>
      <c r="B52" s="485"/>
      <c r="C52" s="487"/>
      <c r="D52" s="487"/>
      <c r="E52" s="487"/>
      <c r="F52" s="487"/>
      <c r="G52" s="487"/>
      <c r="H52" s="487"/>
      <c r="I52" s="487"/>
      <c r="J52" s="487"/>
      <c r="K52" s="487"/>
      <c r="L52" s="505"/>
      <c r="M52" s="505"/>
      <c r="N52" s="505"/>
      <c r="O52" s="506"/>
      <c r="P52" s="506"/>
      <c r="Q52" s="505"/>
      <c r="R52" s="505"/>
      <c r="S52" s="506"/>
      <c r="T52" s="505"/>
      <c r="U52" s="505"/>
      <c r="V52" s="486"/>
      <c r="W52" s="486"/>
      <c r="X52" s="486"/>
      <c r="Y52" s="486"/>
      <c r="Z52" s="487"/>
      <c r="AC52" s="467"/>
      <c r="AG52" s="467"/>
      <c r="AH52" s="467"/>
      <c r="AM52" s="512"/>
      <c r="BU52" s="511"/>
    </row>
    <row r="53" spans="1:74" ht="39.950000000000003" hidden="1" customHeight="1" x14ac:dyDescent="0.2">
      <c r="A53" s="510"/>
      <c r="B53" s="485"/>
      <c r="C53" s="487"/>
      <c r="D53" s="487"/>
      <c r="E53" s="487"/>
      <c r="F53" s="487"/>
      <c r="G53" s="487"/>
      <c r="H53" s="487"/>
      <c r="I53" s="487"/>
      <c r="J53" s="487"/>
      <c r="K53" s="487"/>
      <c r="L53" s="505"/>
      <c r="M53" s="505"/>
      <c r="N53" s="505"/>
      <c r="O53" s="506"/>
      <c r="P53" s="506"/>
      <c r="Q53" s="505"/>
      <c r="R53" s="505"/>
      <c r="S53" s="506"/>
      <c r="T53" s="505"/>
      <c r="U53" s="505"/>
      <c r="V53" s="486"/>
      <c r="W53" s="486"/>
      <c r="X53" s="486"/>
      <c r="Y53" s="486"/>
      <c r="Z53" s="487"/>
      <c r="AC53" s="467"/>
      <c r="AG53" s="467"/>
      <c r="AH53" s="467"/>
      <c r="AM53" s="889" t="s">
        <v>243</v>
      </c>
      <c r="AN53" s="893"/>
      <c r="AO53" s="893"/>
      <c r="AP53" s="893"/>
      <c r="AQ53" s="893"/>
      <c r="AR53" s="893"/>
      <c r="AS53" s="893"/>
      <c r="AT53" s="893"/>
      <c r="AU53" s="893"/>
      <c r="AV53" s="893"/>
      <c r="AW53" s="893"/>
      <c r="AX53" s="893"/>
      <c r="AY53" s="893"/>
      <c r="AZ53" s="893"/>
      <c r="BA53" s="893"/>
      <c r="BB53" s="893"/>
      <c r="BC53" s="893"/>
      <c r="BD53" s="893"/>
      <c r="BE53" s="893"/>
      <c r="BF53" s="893"/>
      <c r="BG53" s="893"/>
      <c r="BH53" s="893"/>
      <c r="BI53" s="893"/>
      <c r="BJ53" s="893"/>
      <c r="BK53" s="893"/>
      <c r="BL53" s="893"/>
      <c r="BM53" s="893"/>
      <c r="BN53" s="893"/>
      <c r="BO53" s="893"/>
      <c r="BP53" s="893"/>
      <c r="BQ53" s="893"/>
      <c r="BR53" s="893"/>
      <c r="BS53" s="893"/>
      <c r="BT53" s="894"/>
    </row>
    <row r="54" spans="1:74" hidden="1" x14ac:dyDescent="0.2">
      <c r="A54" s="510"/>
      <c r="B54" s="485"/>
      <c r="C54" s="487"/>
      <c r="D54" s="487"/>
      <c r="E54" s="487"/>
      <c r="F54" s="487"/>
      <c r="G54" s="487"/>
      <c r="H54" s="487"/>
      <c r="I54" s="487"/>
      <c r="J54" s="487"/>
      <c r="K54" s="487"/>
      <c r="L54" s="505"/>
      <c r="M54" s="505"/>
      <c r="N54" s="505"/>
      <c r="O54" s="506"/>
      <c r="P54" s="506"/>
      <c r="Q54" s="505"/>
      <c r="R54" s="505"/>
      <c r="S54" s="506"/>
      <c r="T54" s="505"/>
      <c r="U54" s="505"/>
      <c r="V54" s="486"/>
      <c r="W54" s="486"/>
      <c r="X54" s="486"/>
      <c r="Y54" s="486"/>
      <c r="Z54" s="487"/>
      <c r="AC54" s="467"/>
      <c r="AG54" s="467"/>
      <c r="AH54" s="467"/>
      <c r="AM54" s="513"/>
    </row>
    <row r="55" spans="1:74" ht="39.950000000000003" hidden="1" customHeight="1" x14ac:dyDescent="0.2">
      <c r="A55" s="510"/>
      <c r="B55" s="485"/>
      <c r="C55" s="487"/>
      <c r="D55" s="487"/>
      <c r="E55" s="487"/>
      <c r="F55" s="487"/>
      <c r="G55" s="487"/>
      <c r="H55" s="487"/>
      <c r="I55" s="487"/>
      <c r="J55" s="487"/>
      <c r="K55" s="487"/>
      <c r="L55" s="505"/>
      <c r="M55" s="505"/>
      <c r="N55" s="505"/>
      <c r="O55" s="506"/>
      <c r="P55" s="506"/>
      <c r="Q55" s="505"/>
      <c r="R55" s="505"/>
      <c r="S55" s="506"/>
      <c r="T55" s="505"/>
      <c r="U55" s="505"/>
      <c r="V55" s="486"/>
      <c r="W55" s="486"/>
      <c r="X55" s="486"/>
      <c r="Y55" s="486"/>
      <c r="Z55" s="487"/>
      <c r="AC55" s="467"/>
      <c r="AG55" s="467"/>
      <c r="AH55" s="467"/>
      <c r="AM55" s="892" t="s">
        <v>75</v>
      </c>
      <c r="AN55" s="893"/>
      <c r="AO55" s="893"/>
      <c r="AP55" s="893"/>
      <c r="AQ55" s="893"/>
      <c r="AR55" s="893"/>
      <c r="AS55" s="893"/>
      <c r="AT55" s="893"/>
      <c r="AU55" s="893"/>
      <c r="AV55" s="893"/>
      <c r="AW55" s="893"/>
      <c r="AX55" s="893"/>
      <c r="AY55" s="893"/>
      <c r="AZ55" s="893"/>
      <c r="BA55" s="893"/>
      <c r="BB55" s="893"/>
      <c r="BC55" s="893"/>
      <c r="BD55" s="893"/>
      <c r="BE55" s="893"/>
      <c r="BF55" s="893"/>
      <c r="BG55" s="893"/>
      <c r="BH55" s="893"/>
      <c r="BI55" s="893"/>
      <c r="BJ55" s="893"/>
      <c r="BK55" s="893"/>
      <c r="BL55" s="893"/>
      <c r="BM55" s="893"/>
      <c r="BN55" s="893"/>
      <c r="BO55" s="893"/>
      <c r="BP55" s="893"/>
      <c r="BQ55" s="893"/>
      <c r="BR55" s="893"/>
      <c r="BS55" s="893"/>
      <c r="BT55" s="894"/>
    </row>
    <row r="56" spans="1:74" hidden="1" x14ac:dyDescent="0.2">
      <c r="A56" s="510"/>
      <c r="B56" s="485"/>
      <c r="C56" s="487"/>
      <c r="D56" s="487"/>
      <c r="E56" s="487"/>
      <c r="F56" s="487"/>
      <c r="G56" s="487"/>
      <c r="H56" s="487"/>
      <c r="I56" s="487"/>
      <c r="J56" s="487"/>
      <c r="K56" s="487"/>
      <c r="L56" s="505"/>
      <c r="M56" s="505"/>
      <c r="N56" s="505"/>
      <c r="O56" s="506"/>
      <c r="P56" s="506"/>
      <c r="Q56" s="505"/>
      <c r="R56" s="505"/>
      <c r="S56" s="506"/>
      <c r="T56" s="505"/>
      <c r="U56" s="505"/>
      <c r="V56" s="486"/>
      <c r="W56" s="486"/>
      <c r="X56" s="486"/>
      <c r="Y56" s="486"/>
      <c r="Z56" s="487"/>
      <c r="AC56" s="467"/>
      <c r="AG56" s="467"/>
      <c r="AH56" s="467"/>
      <c r="AM56" s="513"/>
    </row>
    <row r="57" spans="1:74" ht="39.950000000000003" hidden="1" customHeight="1" x14ac:dyDescent="0.2">
      <c r="A57" s="510"/>
      <c r="B57" s="485"/>
      <c r="C57" s="487"/>
      <c r="D57" s="487"/>
      <c r="E57" s="487"/>
      <c r="F57" s="487"/>
      <c r="G57" s="487"/>
      <c r="H57" s="487"/>
      <c r="I57" s="487"/>
      <c r="J57" s="487"/>
      <c r="K57" s="487"/>
      <c r="L57" s="505"/>
      <c r="M57" s="505"/>
      <c r="N57" s="505"/>
      <c r="O57" s="506"/>
      <c r="P57" s="506"/>
      <c r="Q57" s="505"/>
      <c r="R57" s="505"/>
      <c r="S57" s="506"/>
      <c r="T57" s="505"/>
      <c r="U57" s="505"/>
      <c r="V57" s="486"/>
      <c r="W57" s="486"/>
      <c r="X57" s="486"/>
      <c r="Y57" s="486"/>
      <c r="Z57" s="487"/>
      <c r="AC57" s="467"/>
      <c r="AG57" s="467"/>
      <c r="AH57" s="467"/>
      <c r="AM57" s="892" t="s">
        <v>76</v>
      </c>
      <c r="AN57" s="893"/>
      <c r="AO57" s="893"/>
      <c r="AP57" s="893"/>
      <c r="AQ57" s="893"/>
      <c r="AR57" s="893"/>
      <c r="AS57" s="893"/>
      <c r="AT57" s="893"/>
      <c r="AU57" s="893"/>
      <c r="AV57" s="893"/>
      <c r="AW57" s="893"/>
      <c r="AX57" s="893"/>
      <c r="AY57" s="893"/>
      <c r="AZ57" s="893"/>
      <c r="BA57" s="893"/>
      <c r="BB57" s="893"/>
      <c r="BC57" s="893"/>
      <c r="BD57" s="893"/>
      <c r="BE57" s="893"/>
      <c r="BF57" s="893"/>
      <c r="BG57" s="893"/>
      <c r="BH57" s="893"/>
      <c r="BI57" s="893"/>
      <c r="BJ57" s="893"/>
      <c r="BK57" s="893"/>
      <c r="BL57" s="893"/>
      <c r="BM57" s="893"/>
      <c r="BN57" s="893"/>
      <c r="BO57" s="893"/>
      <c r="BP57" s="893"/>
      <c r="BQ57" s="893"/>
      <c r="BR57" s="893"/>
      <c r="BS57" s="893"/>
      <c r="BT57" s="894"/>
    </row>
    <row r="58" spans="1:74" hidden="1" x14ac:dyDescent="0.2">
      <c r="A58" s="510"/>
      <c r="B58" s="485"/>
      <c r="C58" s="487"/>
      <c r="D58" s="487"/>
      <c r="E58" s="487"/>
      <c r="F58" s="487"/>
      <c r="G58" s="487"/>
      <c r="H58" s="487"/>
      <c r="I58" s="487"/>
      <c r="J58" s="487"/>
      <c r="K58" s="487"/>
      <c r="L58" s="505"/>
      <c r="M58" s="505"/>
      <c r="N58" s="505"/>
      <c r="O58" s="506"/>
      <c r="P58" s="506"/>
      <c r="Q58" s="505"/>
      <c r="R58" s="505"/>
      <c r="S58" s="506"/>
      <c r="T58" s="505"/>
      <c r="U58" s="505"/>
      <c r="V58" s="486"/>
      <c r="W58" s="486"/>
      <c r="X58" s="486"/>
      <c r="Y58" s="486"/>
      <c r="Z58" s="487"/>
      <c r="AC58" s="467"/>
      <c r="AG58" s="467"/>
      <c r="AH58" s="467"/>
      <c r="AM58" s="513"/>
    </row>
    <row r="59" spans="1:74" ht="39.950000000000003" hidden="1" customHeight="1" x14ac:dyDescent="0.2">
      <c r="A59" s="510"/>
      <c r="B59" s="485"/>
      <c r="C59" s="487"/>
      <c r="D59" s="487"/>
      <c r="E59" s="487"/>
      <c r="F59" s="487"/>
      <c r="G59" s="487"/>
      <c r="H59" s="487"/>
      <c r="I59" s="487"/>
      <c r="J59" s="487"/>
      <c r="K59" s="487"/>
      <c r="L59" s="505"/>
      <c r="M59" s="505"/>
      <c r="N59" s="505"/>
      <c r="O59" s="506"/>
      <c r="P59" s="506"/>
      <c r="Q59" s="505"/>
      <c r="R59" s="505"/>
      <c r="S59" s="506"/>
      <c r="T59" s="505"/>
      <c r="U59" s="505"/>
      <c r="V59" s="486"/>
      <c r="W59" s="486"/>
      <c r="X59" s="486"/>
      <c r="Y59" s="486"/>
      <c r="Z59" s="487"/>
      <c r="AC59" s="467"/>
      <c r="AG59" s="467"/>
      <c r="AH59" s="467"/>
      <c r="AM59" s="889" t="s">
        <v>244</v>
      </c>
      <c r="AN59" s="890"/>
      <c r="AO59" s="890"/>
      <c r="AP59" s="890"/>
      <c r="AQ59" s="890"/>
      <c r="AR59" s="890"/>
      <c r="AS59" s="890"/>
      <c r="AT59" s="890"/>
      <c r="AU59" s="890"/>
      <c r="AV59" s="890"/>
      <c r="AW59" s="890"/>
      <c r="AX59" s="890"/>
      <c r="AY59" s="890"/>
      <c r="AZ59" s="890"/>
      <c r="BA59" s="890"/>
      <c r="BB59" s="890"/>
      <c r="BC59" s="890"/>
      <c r="BD59" s="890"/>
      <c r="BE59" s="890"/>
      <c r="BF59" s="890"/>
      <c r="BG59" s="890"/>
      <c r="BH59" s="890"/>
      <c r="BI59" s="890"/>
      <c r="BJ59" s="890"/>
      <c r="BK59" s="890"/>
      <c r="BL59" s="890"/>
      <c r="BM59" s="890"/>
      <c r="BN59" s="890"/>
      <c r="BO59" s="890"/>
      <c r="BP59" s="890"/>
      <c r="BQ59" s="890"/>
      <c r="BR59" s="890"/>
      <c r="BS59" s="890"/>
      <c r="BT59" s="891"/>
    </row>
    <row r="60" spans="1:74" hidden="1" x14ac:dyDescent="0.2">
      <c r="A60" s="510"/>
      <c r="B60" s="485"/>
      <c r="C60" s="487"/>
      <c r="D60" s="487"/>
      <c r="E60" s="487"/>
      <c r="F60" s="487"/>
      <c r="G60" s="487"/>
      <c r="H60" s="487"/>
      <c r="I60" s="487"/>
      <c r="J60" s="487"/>
      <c r="K60" s="487"/>
      <c r="L60" s="505"/>
      <c r="M60" s="505"/>
      <c r="N60" s="505"/>
      <c r="O60" s="506"/>
      <c r="P60" s="506"/>
      <c r="Q60" s="505"/>
      <c r="R60" s="505"/>
      <c r="S60" s="506"/>
      <c r="T60" s="505"/>
      <c r="U60" s="505"/>
      <c r="V60" s="486"/>
      <c r="W60" s="486"/>
      <c r="X60" s="486"/>
      <c r="Y60" s="486"/>
      <c r="Z60" s="487"/>
      <c r="AC60" s="467"/>
      <c r="AG60" s="467"/>
      <c r="AH60" s="467"/>
      <c r="AM60" s="513"/>
    </row>
    <row r="61" spans="1:74" ht="39.950000000000003" hidden="1" customHeight="1" x14ac:dyDescent="0.2">
      <c r="A61" s="510"/>
      <c r="B61" s="485"/>
      <c r="C61" s="487"/>
      <c r="D61" s="487"/>
      <c r="E61" s="487"/>
      <c r="F61" s="487"/>
      <c r="G61" s="487"/>
      <c r="H61" s="487"/>
      <c r="I61" s="487"/>
      <c r="J61" s="487"/>
      <c r="K61" s="487"/>
      <c r="L61" s="505"/>
      <c r="M61" s="505"/>
      <c r="N61" s="505"/>
      <c r="O61" s="506"/>
      <c r="P61" s="506"/>
      <c r="Q61" s="505"/>
      <c r="R61" s="505"/>
      <c r="S61" s="506"/>
      <c r="T61" s="505"/>
      <c r="U61" s="505"/>
      <c r="V61" s="486"/>
      <c r="W61" s="486"/>
      <c r="X61" s="486"/>
      <c r="Y61" s="486"/>
      <c r="Z61" s="487"/>
      <c r="AC61" s="467"/>
      <c r="AG61" s="467"/>
      <c r="AH61" s="467"/>
      <c r="AM61" s="892" t="s">
        <v>78</v>
      </c>
      <c r="AN61" s="893"/>
      <c r="AO61" s="893"/>
      <c r="AP61" s="893"/>
      <c r="AQ61" s="893"/>
      <c r="AR61" s="893"/>
      <c r="AS61" s="893"/>
      <c r="AT61" s="893"/>
      <c r="AU61" s="893"/>
      <c r="AV61" s="893"/>
      <c r="AW61" s="893"/>
      <c r="AX61" s="893"/>
      <c r="AY61" s="893"/>
      <c r="AZ61" s="893"/>
      <c r="BA61" s="893"/>
      <c r="BB61" s="893"/>
      <c r="BC61" s="893"/>
      <c r="BD61" s="893"/>
      <c r="BE61" s="893"/>
      <c r="BF61" s="893"/>
      <c r="BG61" s="893"/>
      <c r="BH61" s="893"/>
      <c r="BI61" s="893"/>
      <c r="BJ61" s="893"/>
      <c r="BK61" s="893"/>
      <c r="BL61" s="893"/>
      <c r="BM61" s="893"/>
      <c r="BN61" s="893"/>
      <c r="BO61" s="893"/>
      <c r="BP61" s="893"/>
      <c r="BQ61" s="893"/>
      <c r="BR61" s="893"/>
      <c r="BS61" s="893"/>
      <c r="BT61" s="894"/>
    </row>
    <row r="62" spans="1:74" hidden="1" x14ac:dyDescent="0.2">
      <c r="A62" s="510"/>
      <c r="B62" s="485"/>
      <c r="C62" s="487"/>
      <c r="D62" s="487"/>
      <c r="E62" s="487"/>
      <c r="F62" s="487"/>
      <c r="G62" s="487"/>
      <c r="H62" s="487"/>
      <c r="I62" s="487"/>
      <c r="J62" s="487"/>
      <c r="K62" s="487"/>
      <c r="L62" s="505"/>
      <c r="M62" s="505"/>
      <c r="N62" s="505"/>
      <c r="O62" s="506"/>
      <c r="P62" s="506"/>
      <c r="Q62" s="505"/>
      <c r="R62" s="505"/>
      <c r="S62" s="506"/>
      <c r="T62" s="505"/>
      <c r="U62" s="505"/>
      <c r="V62" s="486"/>
      <c r="W62" s="486"/>
      <c r="X62" s="486"/>
      <c r="Y62" s="486"/>
      <c r="Z62" s="487"/>
      <c r="AC62" s="467"/>
      <c r="AG62" s="467"/>
      <c r="AH62" s="467"/>
      <c r="AM62" s="507"/>
    </row>
    <row r="63" spans="1:74" ht="39.950000000000003" hidden="1" customHeight="1" x14ac:dyDescent="0.2">
      <c r="A63" s="510"/>
      <c r="B63" s="485"/>
      <c r="C63" s="487"/>
      <c r="D63" s="487"/>
      <c r="E63" s="487"/>
      <c r="F63" s="487"/>
      <c r="G63" s="487"/>
      <c r="H63" s="487"/>
      <c r="I63" s="487"/>
      <c r="J63" s="487"/>
      <c r="K63" s="487"/>
      <c r="L63" s="505"/>
      <c r="M63" s="505"/>
      <c r="N63" s="505"/>
      <c r="O63" s="506"/>
      <c r="P63" s="506"/>
      <c r="Q63" s="505"/>
      <c r="R63" s="505"/>
      <c r="S63" s="506"/>
      <c r="T63" s="505"/>
      <c r="U63" s="505"/>
      <c r="V63" s="486"/>
      <c r="W63" s="486"/>
      <c r="X63" s="486"/>
      <c r="Y63" s="486"/>
      <c r="Z63" s="487"/>
      <c r="AC63" s="467"/>
      <c r="AG63" s="467"/>
      <c r="AH63" s="467"/>
      <c r="AM63" s="892" t="s">
        <v>79</v>
      </c>
      <c r="AN63" s="893"/>
      <c r="AO63" s="893"/>
      <c r="AP63" s="893"/>
      <c r="AQ63" s="893"/>
      <c r="AR63" s="893"/>
      <c r="AS63" s="893"/>
      <c r="AT63" s="893"/>
      <c r="AU63" s="893"/>
      <c r="AV63" s="893"/>
      <c r="AW63" s="893"/>
      <c r="AX63" s="893"/>
      <c r="AY63" s="893"/>
      <c r="AZ63" s="893"/>
      <c r="BA63" s="893"/>
      <c r="BB63" s="893"/>
      <c r="BC63" s="893"/>
      <c r="BD63" s="893"/>
      <c r="BE63" s="893"/>
      <c r="BF63" s="893"/>
      <c r="BG63" s="893"/>
      <c r="BH63" s="893"/>
      <c r="BI63" s="893"/>
      <c r="BJ63" s="893"/>
      <c r="BK63" s="893"/>
      <c r="BL63" s="893"/>
      <c r="BM63" s="893"/>
      <c r="BN63" s="893"/>
      <c r="BO63" s="893"/>
      <c r="BP63" s="893"/>
      <c r="BQ63" s="893"/>
      <c r="BR63" s="893"/>
      <c r="BS63" s="893"/>
      <c r="BT63" s="894"/>
    </row>
    <row r="64" spans="1:74" hidden="1" x14ac:dyDescent="0.2">
      <c r="A64" s="510"/>
      <c r="B64" s="485"/>
      <c r="C64" s="487"/>
      <c r="D64" s="487"/>
      <c r="E64" s="487"/>
      <c r="F64" s="487"/>
      <c r="G64" s="487"/>
      <c r="H64" s="487"/>
      <c r="I64" s="487"/>
      <c r="J64" s="487"/>
      <c r="K64" s="487"/>
      <c r="L64" s="505"/>
      <c r="M64" s="505"/>
      <c r="N64" s="505"/>
      <c r="O64" s="506"/>
      <c r="P64" s="506"/>
      <c r="Q64" s="505"/>
      <c r="R64" s="505"/>
      <c r="S64" s="506"/>
      <c r="T64" s="505"/>
      <c r="U64" s="505"/>
      <c r="V64" s="486"/>
      <c r="W64" s="486"/>
      <c r="X64" s="486"/>
      <c r="Y64" s="486"/>
      <c r="Z64" s="487"/>
      <c r="AC64" s="467"/>
      <c r="AG64" s="467"/>
      <c r="AH64" s="467"/>
      <c r="AM64" s="514"/>
    </row>
    <row r="65" spans="1:73" s="485" customFormat="1" ht="39.950000000000003" hidden="1" customHeight="1" x14ac:dyDescent="0.2">
      <c r="A65" s="510"/>
      <c r="B65" s="508"/>
      <c r="L65" s="515"/>
      <c r="M65" s="515"/>
      <c r="N65" s="515"/>
      <c r="O65" s="516"/>
      <c r="P65" s="516"/>
      <c r="Q65" s="516"/>
      <c r="R65" s="516"/>
      <c r="S65" s="516"/>
      <c r="T65" s="516"/>
      <c r="U65" s="516"/>
      <c r="V65" s="516"/>
      <c r="AM65" s="889" t="s">
        <v>245</v>
      </c>
      <c r="AN65" s="890"/>
      <c r="AO65" s="890"/>
      <c r="AP65" s="890"/>
      <c r="AQ65" s="890"/>
      <c r="AR65" s="890"/>
      <c r="AS65" s="890"/>
      <c r="AT65" s="890"/>
      <c r="AU65" s="890"/>
      <c r="AV65" s="890"/>
      <c r="AW65" s="890"/>
      <c r="AX65" s="890"/>
      <c r="AY65" s="890"/>
      <c r="AZ65" s="890"/>
      <c r="BA65" s="890"/>
      <c r="BB65" s="890"/>
      <c r="BC65" s="890"/>
      <c r="BD65" s="890"/>
      <c r="BE65" s="890"/>
      <c r="BF65" s="890"/>
      <c r="BG65" s="890"/>
      <c r="BH65" s="890"/>
      <c r="BI65" s="890"/>
      <c r="BJ65" s="890"/>
      <c r="BK65" s="890"/>
      <c r="BL65" s="890"/>
      <c r="BM65" s="890"/>
      <c r="BN65" s="890"/>
      <c r="BO65" s="890"/>
      <c r="BP65" s="890"/>
      <c r="BQ65" s="890"/>
      <c r="BR65" s="890"/>
      <c r="BS65" s="890"/>
      <c r="BT65" s="891"/>
    </row>
    <row r="66" spans="1:73" hidden="1" x14ac:dyDescent="0.2">
      <c r="A66" s="510"/>
      <c r="B66" s="485"/>
      <c r="C66" s="487"/>
      <c r="D66" s="487"/>
      <c r="E66" s="487"/>
      <c r="F66" s="487"/>
      <c r="G66" s="487"/>
      <c r="H66" s="487"/>
      <c r="I66" s="487"/>
      <c r="J66" s="487"/>
      <c r="K66" s="487"/>
      <c r="L66" s="505"/>
      <c r="M66" s="505"/>
      <c r="N66" s="505"/>
      <c r="O66" s="506"/>
      <c r="P66" s="506"/>
      <c r="Q66" s="505"/>
      <c r="R66" s="505"/>
      <c r="S66" s="506"/>
      <c r="T66" s="505"/>
      <c r="U66" s="505"/>
      <c r="V66" s="486"/>
      <c r="W66" s="486"/>
      <c r="X66" s="486"/>
      <c r="Y66" s="486"/>
      <c r="Z66" s="487"/>
      <c r="AC66" s="467"/>
      <c r="AG66" s="467"/>
      <c r="AH66" s="467"/>
      <c r="AM66" s="514"/>
    </row>
    <row r="67" spans="1:73" s="485" customFormat="1" ht="39.950000000000003" hidden="1" customHeight="1" x14ac:dyDescent="0.2">
      <c r="A67" s="510"/>
      <c r="B67" s="508"/>
      <c r="L67" s="515"/>
      <c r="M67" s="515"/>
      <c r="N67" s="515"/>
      <c r="O67" s="516"/>
      <c r="P67" s="516"/>
      <c r="Q67" s="516"/>
      <c r="R67" s="516"/>
      <c r="S67" s="516"/>
      <c r="T67" s="516"/>
      <c r="U67" s="516"/>
      <c r="V67" s="516"/>
      <c r="AM67" s="886" t="s">
        <v>246</v>
      </c>
      <c r="AN67" s="887"/>
      <c r="AO67" s="887"/>
      <c r="AP67" s="887"/>
      <c r="AQ67" s="887"/>
      <c r="AR67" s="887"/>
      <c r="AS67" s="887"/>
      <c r="AT67" s="887"/>
      <c r="AU67" s="887"/>
      <c r="AV67" s="887"/>
      <c r="AW67" s="887"/>
      <c r="AX67" s="887"/>
      <c r="AY67" s="887"/>
      <c r="AZ67" s="887"/>
      <c r="BA67" s="887"/>
      <c r="BB67" s="887"/>
      <c r="BC67" s="887"/>
      <c r="BD67" s="887"/>
      <c r="BE67" s="887"/>
      <c r="BF67" s="887"/>
      <c r="BG67" s="887"/>
      <c r="BH67" s="887"/>
      <c r="BI67" s="887"/>
      <c r="BJ67" s="887"/>
      <c r="BK67" s="887"/>
      <c r="BL67" s="887"/>
      <c r="BM67" s="887"/>
      <c r="BN67" s="887"/>
      <c r="BO67" s="887"/>
      <c r="BP67" s="887"/>
      <c r="BQ67" s="887"/>
      <c r="BR67" s="887"/>
      <c r="BS67" s="887"/>
      <c r="BT67" s="888"/>
    </row>
    <row r="68" spans="1:73" s="485" customFormat="1" hidden="1" x14ac:dyDescent="0.2">
      <c r="A68" s="510"/>
      <c r="B68" s="508"/>
      <c r="L68" s="515"/>
      <c r="M68" s="515"/>
      <c r="N68" s="515"/>
      <c r="O68" s="516"/>
      <c r="P68" s="516"/>
      <c r="Q68" s="516"/>
      <c r="R68" s="516"/>
      <c r="S68" s="516"/>
      <c r="T68" s="516"/>
      <c r="U68" s="516"/>
      <c r="V68" s="516"/>
      <c r="AM68" s="514"/>
      <c r="AZ68" s="516"/>
      <c r="BA68" s="516"/>
      <c r="BB68" s="517"/>
      <c r="BC68" s="517"/>
      <c r="BF68" s="467"/>
      <c r="BG68" s="467"/>
      <c r="BH68" s="467"/>
      <c r="BI68" s="467"/>
      <c r="BJ68" s="467"/>
      <c r="BK68" s="467"/>
      <c r="BL68" s="467"/>
      <c r="BM68" s="467"/>
      <c r="BN68" s="467"/>
      <c r="BO68" s="467"/>
      <c r="BP68" s="467"/>
      <c r="BQ68" s="467"/>
      <c r="BR68" s="469"/>
      <c r="BS68" s="467"/>
    </row>
    <row r="69" spans="1:73" s="485" customFormat="1" ht="39.950000000000003" hidden="1" customHeight="1" x14ac:dyDescent="0.2">
      <c r="A69" s="510"/>
      <c r="B69" s="508"/>
      <c r="L69" s="515"/>
      <c r="M69" s="515"/>
      <c r="N69" s="515"/>
      <c r="O69" s="516"/>
      <c r="P69" s="516"/>
      <c r="Q69" s="516"/>
      <c r="R69" s="516"/>
      <c r="S69" s="516"/>
      <c r="T69" s="516"/>
      <c r="U69" s="516"/>
      <c r="V69" s="516"/>
      <c r="AM69" s="889" t="s">
        <v>247</v>
      </c>
      <c r="AN69" s="890"/>
      <c r="AO69" s="890"/>
      <c r="AP69" s="890"/>
      <c r="AQ69" s="890"/>
      <c r="AR69" s="890"/>
      <c r="AS69" s="890"/>
      <c r="AT69" s="890"/>
      <c r="AU69" s="890"/>
      <c r="AV69" s="890"/>
      <c r="AW69" s="890"/>
      <c r="AX69" s="890"/>
      <c r="AY69" s="890"/>
      <c r="AZ69" s="890"/>
      <c r="BA69" s="890"/>
      <c r="BB69" s="890"/>
      <c r="BC69" s="890"/>
      <c r="BD69" s="890"/>
      <c r="BE69" s="890"/>
      <c r="BF69" s="890"/>
      <c r="BG69" s="890"/>
      <c r="BH69" s="890"/>
      <c r="BI69" s="890"/>
      <c r="BJ69" s="890"/>
      <c r="BK69" s="890"/>
      <c r="BL69" s="890"/>
      <c r="BM69" s="890"/>
      <c r="BN69" s="890"/>
      <c r="BO69" s="890"/>
      <c r="BP69" s="890"/>
      <c r="BQ69" s="890"/>
      <c r="BR69" s="890"/>
      <c r="BS69" s="890"/>
      <c r="BT69" s="891"/>
    </row>
    <row r="70" spans="1:73" s="485" customFormat="1" hidden="1" x14ac:dyDescent="0.2">
      <c r="A70" s="510"/>
      <c r="B70" s="508"/>
      <c r="L70" s="515"/>
      <c r="M70" s="515"/>
      <c r="N70" s="515"/>
      <c r="O70" s="516"/>
      <c r="P70" s="516"/>
      <c r="Q70" s="516"/>
      <c r="R70" s="516"/>
      <c r="S70" s="516"/>
      <c r="T70" s="516"/>
      <c r="U70" s="516"/>
      <c r="V70" s="516"/>
      <c r="AM70" s="514"/>
      <c r="AZ70" s="516"/>
      <c r="BA70" s="516"/>
      <c r="BB70" s="517"/>
      <c r="BC70" s="517"/>
      <c r="BF70" s="467"/>
      <c r="BG70" s="467"/>
      <c r="BH70" s="467"/>
      <c r="BI70" s="467"/>
      <c r="BJ70" s="467"/>
      <c r="BK70" s="467"/>
      <c r="BL70" s="467"/>
      <c r="BM70" s="467"/>
      <c r="BN70" s="467"/>
      <c r="BO70" s="467"/>
      <c r="BP70" s="467"/>
      <c r="BQ70" s="467"/>
      <c r="BR70" s="469"/>
      <c r="BS70" s="467"/>
    </row>
    <row r="71" spans="1:73" s="485" customFormat="1" ht="39.950000000000003" hidden="1" customHeight="1" x14ac:dyDescent="0.2">
      <c r="A71" s="510"/>
      <c r="B71" s="508"/>
      <c r="L71" s="515"/>
      <c r="M71" s="515"/>
      <c r="N71" s="515"/>
      <c r="O71" s="516"/>
      <c r="P71" s="516"/>
      <c r="Q71" s="516"/>
      <c r="R71" s="516"/>
      <c r="S71" s="516"/>
      <c r="T71" s="516"/>
      <c r="U71" s="516"/>
      <c r="V71" s="516"/>
      <c r="AM71" s="889" t="s">
        <v>248</v>
      </c>
      <c r="AN71" s="890"/>
      <c r="AO71" s="890"/>
      <c r="AP71" s="890"/>
      <c r="AQ71" s="890"/>
      <c r="AR71" s="890"/>
      <c r="AS71" s="890"/>
      <c r="AT71" s="890"/>
      <c r="AU71" s="890"/>
      <c r="AV71" s="890"/>
      <c r="AW71" s="890"/>
      <c r="AX71" s="890"/>
      <c r="AY71" s="890"/>
      <c r="AZ71" s="890"/>
      <c r="BA71" s="890"/>
      <c r="BB71" s="890"/>
      <c r="BC71" s="890"/>
      <c r="BD71" s="890"/>
      <c r="BE71" s="890"/>
      <c r="BF71" s="890"/>
      <c r="BG71" s="890"/>
      <c r="BH71" s="890"/>
      <c r="BI71" s="890"/>
      <c r="BJ71" s="890"/>
      <c r="BK71" s="890"/>
      <c r="BL71" s="890"/>
      <c r="BM71" s="890"/>
      <c r="BN71" s="890"/>
      <c r="BO71" s="890"/>
      <c r="BP71" s="890"/>
      <c r="BQ71" s="890"/>
      <c r="BR71" s="890"/>
      <c r="BS71" s="890"/>
      <c r="BT71" s="891"/>
    </row>
    <row r="72" spans="1:73" hidden="1" x14ac:dyDescent="0.2">
      <c r="C72" s="485"/>
      <c r="D72" s="485"/>
      <c r="E72" s="485"/>
      <c r="F72" s="485"/>
      <c r="G72" s="485"/>
      <c r="H72" s="485"/>
      <c r="I72" s="485"/>
      <c r="J72" s="485"/>
      <c r="K72" s="485"/>
      <c r="L72" s="515"/>
      <c r="M72" s="515"/>
      <c r="N72" s="515"/>
      <c r="O72" s="515"/>
      <c r="P72" s="516"/>
      <c r="Q72" s="516"/>
      <c r="R72" s="518"/>
      <c r="S72" s="518"/>
      <c r="T72" s="518"/>
      <c r="U72" s="518"/>
      <c r="V72" s="518"/>
      <c r="W72" s="518"/>
      <c r="X72" s="518"/>
      <c r="Y72" s="518"/>
      <c r="Z72" s="518"/>
      <c r="AM72" s="518"/>
    </row>
    <row r="73" spans="1:73" ht="39.950000000000003" hidden="1" customHeight="1" x14ac:dyDescent="0.2">
      <c r="C73" s="519"/>
      <c r="D73" s="519"/>
      <c r="E73" s="519"/>
      <c r="F73" s="519"/>
      <c r="G73" s="519"/>
      <c r="H73" s="519"/>
      <c r="I73" s="519"/>
      <c r="J73" s="519"/>
      <c r="K73" s="519"/>
      <c r="L73" s="520"/>
      <c r="M73" s="520"/>
      <c r="N73" s="518"/>
      <c r="O73" s="518"/>
      <c r="P73" s="518"/>
      <c r="Q73" s="518"/>
      <c r="R73" s="518"/>
      <c r="S73" s="518"/>
      <c r="T73" s="518"/>
      <c r="U73" s="518"/>
      <c r="V73" s="518"/>
      <c r="W73" s="518"/>
      <c r="X73" s="518"/>
      <c r="Y73" s="518"/>
      <c r="Z73" s="518"/>
      <c r="AM73" s="892" t="s">
        <v>249</v>
      </c>
      <c r="AN73" s="893"/>
      <c r="AO73" s="893"/>
      <c r="AP73" s="893"/>
      <c r="AQ73" s="893"/>
      <c r="AR73" s="893"/>
      <c r="AS73" s="893"/>
      <c r="AT73" s="893"/>
      <c r="AU73" s="893"/>
      <c r="AV73" s="893"/>
      <c r="AW73" s="893"/>
      <c r="AX73" s="893"/>
      <c r="AY73" s="893"/>
      <c r="AZ73" s="893"/>
      <c r="BA73" s="893"/>
      <c r="BB73" s="893"/>
      <c r="BC73" s="893"/>
      <c r="BD73" s="893"/>
      <c r="BE73" s="893"/>
      <c r="BF73" s="893"/>
      <c r="BG73" s="893"/>
      <c r="BH73" s="893"/>
      <c r="BI73" s="893"/>
      <c r="BJ73" s="893"/>
      <c r="BK73" s="893"/>
      <c r="BL73" s="893"/>
      <c r="BM73" s="893"/>
      <c r="BN73" s="893"/>
      <c r="BO73" s="893"/>
      <c r="BP73" s="893"/>
      <c r="BQ73" s="893"/>
      <c r="BR73" s="893"/>
      <c r="BS73" s="893"/>
      <c r="BT73" s="894"/>
    </row>
    <row r="74" spans="1:73" hidden="1" x14ac:dyDescent="0.2">
      <c r="C74" s="485"/>
      <c r="D74" s="485"/>
      <c r="E74" s="485"/>
      <c r="F74" s="485"/>
      <c r="G74" s="485"/>
      <c r="H74" s="485"/>
      <c r="I74" s="485"/>
      <c r="J74" s="485"/>
      <c r="K74" s="485"/>
      <c r="L74" s="515"/>
      <c r="M74" s="515"/>
      <c r="N74" s="515"/>
      <c r="O74" s="511"/>
      <c r="P74" s="511"/>
      <c r="Q74" s="511"/>
      <c r="R74" s="511"/>
      <c r="S74" s="511"/>
      <c r="T74" s="511"/>
      <c r="U74" s="511"/>
      <c r="V74" s="511"/>
      <c r="W74" s="511"/>
      <c r="X74" s="511"/>
      <c r="Y74" s="511"/>
      <c r="Z74" s="518"/>
      <c r="AM74" s="518"/>
    </row>
    <row r="75" spans="1:73" ht="39.950000000000003" hidden="1" customHeight="1" x14ac:dyDescent="0.2">
      <c r="C75" s="519"/>
      <c r="D75" s="519"/>
      <c r="E75" s="519"/>
      <c r="F75" s="519"/>
      <c r="G75" s="519"/>
      <c r="H75" s="519"/>
      <c r="I75" s="519"/>
      <c r="J75" s="519"/>
      <c r="K75" s="519"/>
      <c r="L75" s="520"/>
      <c r="M75" s="520"/>
      <c r="N75" s="518"/>
      <c r="O75" s="518"/>
      <c r="P75" s="518"/>
      <c r="Q75" s="518"/>
      <c r="R75" s="518"/>
      <c r="S75" s="518"/>
      <c r="T75" s="518"/>
      <c r="U75" s="518"/>
      <c r="V75" s="518"/>
      <c r="W75" s="518"/>
      <c r="X75" s="518"/>
      <c r="Y75" s="518"/>
      <c r="Z75" s="518"/>
      <c r="AM75" s="886" t="s">
        <v>250</v>
      </c>
      <c r="AN75" s="887"/>
      <c r="AO75" s="887"/>
      <c r="AP75" s="887"/>
      <c r="AQ75" s="887"/>
      <c r="AR75" s="887"/>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8"/>
    </row>
    <row r="76" spans="1:73" hidden="1" x14ac:dyDescent="0.2">
      <c r="C76" s="485"/>
      <c r="D76" s="485"/>
      <c r="E76" s="485"/>
      <c r="F76" s="485"/>
      <c r="G76" s="485"/>
      <c r="H76" s="485"/>
      <c r="I76" s="485"/>
      <c r="J76" s="485"/>
      <c r="K76" s="485"/>
      <c r="L76" s="515"/>
      <c r="M76" s="515"/>
      <c r="N76" s="515"/>
      <c r="O76" s="511"/>
      <c r="P76" s="511"/>
      <c r="Q76" s="511"/>
      <c r="R76" s="511"/>
      <c r="S76" s="511"/>
      <c r="T76" s="511"/>
      <c r="U76" s="511"/>
      <c r="V76" s="511"/>
      <c r="W76" s="511"/>
      <c r="X76" s="511"/>
      <c r="Y76" s="511"/>
      <c r="Z76" s="518"/>
      <c r="AM76" s="518"/>
    </row>
    <row r="77" spans="1:73" ht="39.950000000000003" hidden="1" customHeight="1" x14ac:dyDescent="0.2">
      <c r="C77" s="519"/>
      <c r="D77" s="519"/>
      <c r="E77" s="519"/>
      <c r="F77" s="519"/>
      <c r="G77" s="519"/>
      <c r="H77" s="519"/>
      <c r="I77" s="519"/>
      <c r="J77" s="519"/>
      <c r="K77" s="519"/>
      <c r="L77" s="520"/>
      <c r="M77" s="520"/>
      <c r="N77" s="518"/>
      <c r="O77" s="518"/>
      <c r="P77" s="518"/>
      <c r="Q77" s="518"/>
      <c r="R77" s="518"/>
      <c r="S77" s="518"/>
      <c r="T77" s="518"/>
      <c r="U77" s="518"/>
      <c r="V77" s="518"/>
      <c r="W77" s="518"/>
      <c r="X77" s="518"/>
      <c r="Y77" s="518"/>
      <c r="Z77" s="518"/>
      <c r="AM77" s="886" t="s">
        <v>251</v>
      </c>
      <c r="AN77" s="887"/>
      <c r="AO77" s="887"/>
      <c r="AP77" s="887"/>
      <c r="AQ77" s="887"/>
      <c r="AR77" s="887"/>
      <c r="AS77" s="887"/>
      <c r="AT77" s="887"/>
      <c r="AU77" s="887"/>
      <c r="AV77" s="887"/>
      <c r="AW77" s="887"/>
      <c r="AX77" s="887"/>
      <c r="AY77" s="887"/>
      <c r="AZ77" s="887"/>
      <c r="BA77" s="887"/>
      <c r="BB77" s="887"/>
      <c r="BC77" s="887"/>
      <c r="BD77" s="887"/>
      <c r="BE77" s="887"/>
      <c r="BF77" s="887"/>
      <c r="BG77" s="887"/>
      <c r="BH77" s="887"/>
      <c r="BI77" s="887"/>
      <c r="BJ77" s="887"/>
      <c r="BK77" s="887"/>
      <c r="BL77" s="887"/>
      <c r="BM77" s="887"/>
      <c r="BN77" s="887"/>
      <c r="BO77" s="887"/>
      <c r="BP77" s="887"/>
      <c r="BQ77" s="887"/>
      <c r="BR77" s="887"/>
      <c r="BS77" s="887"/>
      <c r="BT77" s="888"/>
    </row>
    <row r="78" spans="1:73" hidden="1" x14ac:dyDescent="0.2">
      <c r="C78" s="485"/>
      <c r="D78" s="485"/>
      <c r="E78" s="485"/>
      <c r="F78" s="485"/>
      <c r="G78" s="485"/>
      <c r="H78" s="485"/>
      <c r="I78" s="485"/>
      <c r="J78" s="485"/>
      <c r="K78" s="485"/>
      <c r="L78" s="515"/>
      <c r="M78" s="515"/>
      <c r="N78" s="515"/>
      <c r="O78" s="516"/>
      <c r="P78" s="516"/>
      <c r="Q78" s="511"/>
      <c r="R78" s="511"/>
      <c r="S78" s="511"/>
      <c r="T78" s="511"/>
      <c r="U78" s="511"/>
      <c r="V78" s="511"/>
      <c r="W78" s="511"/>
      <c r="X78" s="511"/>
      <c r="Y78" s="511"/>
      <c r="Z78" s="518"/>
      <c r="AM78" s="518"/>
      <c r="BU78" s="471"/>
    </row>
    <row r="79" spans="1:73" ht="39.950000000000003" hidden="1" customHeight="1" x14ac:dyDescent="0.2">
      <c r="C79" s="519"/>
      <c r="D79" s="519"/>
      <c r="E79" s="519"/>
      <c r="F79" s="519"/>
      <c r="G79" s="519"/>
      <c r="H79" s="519"/>
      <c r="I79" s="519"/>
      <c r="J79" s="519"/>
      <c r="K79" s="519"/>
      <c r="L79" s="520"/>
      <c r="M79" s="520"/>
      <c r="N79" s="518"/>
      <c r="O79" s="518"/>
      <c r="P79" s="518"/>
      <c r="Q79" s="518"/>
      <c r="R79" s="518"/>
      <c r="S79" s="518"/>
      <c r="T79" s="518"/>
      <c r="U79" s="518"/>
      <c r="V79" s="518"/>
      <c r="W79" s="518"/>
      <c r="X79" s="518"/>
      <c r="Y79" s="518"/>
      <c r="Z79" s="518"/>
      <c r="AM79" s="886" t="s">
        <v>252</v>
      </c>
      <c r="AN79" s="887"/>
      <c r="AO79" s="887"/>
      <c r="AP79" s="887"/>
      <c r="AQ79" s="887"/>
      <c r="AR79" s="887"/>
      <c r="AS79" s="887"/>
      <c r="AT79" s="887"/>
      <c r="AU79" s="887"/>
      <c r="AV79" s="887"/>
      <c r="AW79" s="887"/>
      <c r="AX79" s="887"/>
      <c r="AY79" s="887"/>
      <c r="AZ79" s="887"/>
      <c r="BA79" s="887"/>
      <c r="BB79" s="887"/>
      <c r="BC79" s="887"/>
      <c r="BD79" s="887"/>
      <c r="BE79" s="887"/>
      <c r="BF79" s="887"/>
      <c r="BG79" s="887"/>
      <c r="BH79" s="887"/>
      <c r="BI79" s="887"/>
      <c r="BJ79" s="887"/>
      <c r="BK79" s="887"/>
      <c r="BL79" s="887"/>
      <c r="BM79" s="887"/>
      <c r="BN79" s="887"/>
      <c r="BO79" s="887"/>
      <c r="BP79" s="887"/>
      <c r="BQ79" s="887"/>
      <c r="BR79" s="887"/>
      <c r="BS79" s="887"/>
      <c r="BT79" s="888"/>
    </row>
    <row r="80" spans="1:73" hidden="1" x14ac:dyDescent="0.2">
      <c r="C80" s="485"/>
      <c r="D80" s="485"/>
      <c r="E80" s="485"/>
      <c r="F80" s="485"/>
      <c r="G80" s="485"/>
      <c r="H80" s="485"/>
      <c r="I80" s="485"/>
      <c r="J80" s="485"/>
      <c r="K80" s="485"/>
      <c r="L80" s="515"/>
      <c r="M80" s="515"/>
      <c r="N80" s="515"/>
      <c r="O80" s="516"/>
      <c r="P80" s="516"/>
      <c r="Q80" s="511"/>
      <c r="R80" s="511"/>
      <c r="S80" s="511"/>
      <c r="T80" s="511"/>
      <c r="U80" s="511"/>
      <c r="V80" s="511"/>
      <c r="W80" s="511"/>
      <c r="X80" s="511"/>
      <c r="Y80" s="511"/>
      <c r="Z80" s="518"/>
      <c r="AM80" s="518"/>
    </row>
    <row r="81" spans="1:72" ht="39.950000000000003" hidden="1" customHeight="1" x14ac:dyDescent="0.2">
      <c r="C81" s="519"/>
      <c r="D81" s="519"/>
      <c r="E81" s="519"/>
      <c r="F81" s="519"/>
      <c r="G81" s="519"/>
      <c r="H81" s="519"/>
      <c r="I81" s="519"/>
      <c r="J81" s="519"/>
      <c r="K81" s="519"/>
      <c r="L81" s="520"/>
      <c r="M81" s="520"/>
      <c r="N81" s="518"/>
      <c r="O81" s="518"/>
      <c r="P81" s="518"/>
      <c r="Q81" s="518"/>
      <c r="R81" s="518"/>
      <c r="S81" s="518"/>
      <c r="T81" s="518"/>
      <c r="U81" s="518"/>
      <c r="V81" s="518"/>
      <c r="W81" s="518"/>
      <c r="X81" s="518"/>
      <c r="Y81" s="518"/>
      <c r="Z81" s="518"/>
      <c r="AM81" s="886" t="s">
        <v>253</v>
      </c>
      <c r="AN81" s="887"/>
      <c r="AO81" s="887"/>
      <c r="AP81" s="887"/>
      <c r="AQ81" s="887"/>
      <c r="AR81" s="887"/>
      <c r="AS81" s="887"/>
      <c r="AT81" s="887"/>
      <c r="AU81" s="887"/>
      <c r="AV81" s="887"/>
      <c r="AW81" s="887"/>
      <c r="AX81" s="887"/>
      <c r="AY81" s="887"/>
      <c r="AZ81" s="887"/>
      <c r="BA81" s="887"/>
      <c r="BB81" s="887"/>
      <c r="BC81" s="887"/>
      <c r="BD81" s="887"/>
      <c r="BE81" s="887"/>
      <c r="BF81" s="887"/>
      <c r="BG81" s="887"/>
      <c r="BH81" s="887"/>
      <c r="BI81" s="887"/>
      <c r="BJ81" s="887"/>
      <c r="BK81" s="887"/>
      <c r="BL81" s="887"/>
      <c r="BM81" s="887"/>
      <c r="BN81" s="887"/>
      <c r="BO81" s="887"/>
      <c r="BP81" s="887"/>
      <c r="BQ81" s="887"/>
      <c r="BR81" s="887"/>
      <c r="BS81" s="887"/>
      <c r="BT81" s="888"/>
    </row>
    <row r="82" spans="1:72" hidden="1" x14ac:dyDescent="0.2">
      <c r="A82" s="519"/>
      <c r="C82" s="485"/>
      <c r="D82" s="485"/>
      <c r="E82" s="485"/>
      <c r="F82" s="485"/>
      <c r="G82" s="485"/>
      <c r="H82" s="485"/>
      <c r="I82" s="485"/>
      <c r="J82" s="485"/>
      <c r="K82" s="485"/>
      <c r="L82" s="515"/>
      <c r="M82" s="515"/>
      <c r="N82" s="515"/>
      <c r="O82" s="516"/>
      <c r="P82" s="516"/>
      <c r="Q82" s="516"/>
      <c r="R82" s="516"/>
      <c r="S82" s="511"/>
      <c r="T82" s="511"/>
      <c r="U82" s="511"/>
      <c r="V82" s="511"/>
      <c r="W82" s="511"/>
      <c r="X82" s="511"/>
      <c r="Y82" s="511"/>
      <c r="Z82" s="518"/>
      <c r="AM82" s="518"/>
    </row>
    <row r="83" spans="1:72" ht="39.950000000000003" hidden="1" customHeight="1" x14ac:dyDescent="0.2">
      <c r="C83" s="519"/>
      <c r="D83" s="519"/>
      <c r="E83" s="519"/>
      <c r="F83" s="519"/>
      <c r="G83" s="519"/>
      <c r="H83" s="519"/>
      <c r="I83" s="519"/>
      <c r="J83" s="519"/>
      <c r="K83" s="519"/>
      <c r="L83" s="520"/>
      <c r="M83" s="520"/>
      <c r="N83" s="518"/>
      <c r="O83" s="518"/>
      <c r="P83" s="518"/>
      <c r="Q83" s="518"/>
      <c r="R83" s="518"/>
      <c r="S83" s="518"/>
      <c r="T83" s="518"/>
      <c r="U83" s="518"/>
      <c r="V83" s="518"/>
      <c r="W83" s="518"/>
      <c r="X83" s="518"/>
      <c r="Y83" s="518"/>
      <c r="Z83" s="518"/>
      <c r="AM83" s="886" t="s">
        <v>254</v>
      </c>
      <c r="AN83" s="887"/>
      <c r="AO83" s="887"/>
      <c r="AP83" s="887"/>
      <c r="AQ83" s="887"/>
      <c r="AR83" s="887"/>
      <c r="AS83" s="887"/>
      <c r="AT83" s="887"/>
      <c r="AU83" s="887"/>
      <c r="AV83" s="887"/>
      <c r="AW83" s="887"/>
      <c r="AX83" s="887"/>
      <c r="AY83" s="887"/>
      <c r="AZ83" s="887"/>
      <c r="BA83" s="887"/>
      <c r="BB83" s="887"/>
      <c r="BC83" s="887"/>
      <c r="BD83" s="887"/>
      <c r="BE83" s="887"/>
      <c r="BF83" s="887"/>
      <c r="BG83" s="887"/>
      <c r="BH83" s="887"/>
      <c r="BI83" s="887"/>
      <c r="BJ83" s="887"/>
      <c r="BK83" s="887"/>
      <c r="BL83" s="887"/>
      <c r="BM83" s="887"/>
      <c r="BN83" s="887"/>
      <c r="BO83" s="887"/>
      <c r="BP83" s="887"/>
      <c r="BQ83" s="887"/>
      <c r="BR83" s="887"/>
      <c r="BS83" s="887"/>
      <c r="BT83" s="888"/>
    </row>
    <row r="84" spans="1:72" hidden="1" x14ac:dyDescent="0.2">
      <c r="A84" s="519"/>
      <c r="C84" s="485"/>
      <c r="D84" s="485"/>
      <c r="E84" s="485"/>
      <c r="F84" s="485"/>
      <c r="G84" s="485"/>
      <c r="H84" s="485"/>
      <c r="I84" s="485"/>
      <c r="J84" s="485"/>
      <c r="K84" s="485"/>
      <c r="L84" s="515"/>
      <c r="M84" s="515"/>
      <c r="N84" s="515"/>
      <c r="O84" s="516"/>
      <c r="P84" s="516"/>
      <c r="Q84" s="516"/>
      <c r="R84" s="516"/>
      <c r="S84" s="511"/>
      <c r="T84" s="511"/>
      <c r="U84" s="511"/>
      <c r="V84" s="511"/>
      <c r="W84" s="511"/>
      <c r="X84" s="511"/>
      <c r="Y84" s="511"/>
      <c r="Z84" s="518"/>
      <c r="AM84" s="518"/>
    </row>
    <row r="85" spans="1:72" ht="39.950000000000003" hidden="1" customHeight="1" x14ac:dyDescent="0.2">
      <c r="C85" s="519"/>
      <c r="D85" s="519"/>
      <c r="E85" s="519"/>
      <c r="F85" s="519"/>
      <c r="G85" s="519"/>
      <c r="H85" s="519"/>
      <c r="I85" s="519"/>
      <c r="J85" s="519"/>
      <c r="K85" s="519"/>
      <c r="L85" s="520"/>
      <c r="M85" s="520"/>
      <c r="N85" s="518"/>
      <c r="O85" s="518"/>
      <c r="P85" s="518"/>
      <c r="Q85" s="518"/>
      <c r="R85" s="518"/>
      <c r="S85" s="518"/>
      <c r="T85" s="518"/>
      <c r="U85" s="518"/>
      <c r="V85" s="518"/>
      <c r="W85" s="518"/>
      <c r="X85" s="518"/>
      <c r="Y85" s="518"/>
      <c r="Z85" s="518"/>
      <c r="AM85" s="886" t="s">
        <v>255</v>
      </c>
      <c r="AN85" s="887"/>
      <c r="AO85" s="887"/>
      <c r="AP85" s="887"/>
      <c r="AQ85" s="887"/>
      <c r="AR85" s="887"/>
      <c r="AS85" s="887"/>
      <c r="AT85" s="887"/>
      <c r="AU85" s="887"/>
      <c r="AV85" s="887"/>
      <c r="AW85" s="887"/>
      <c r="AX85" s="887"/>
      <c r="AY85" s="887"/>
      <c r="AZ85" s="887"/>
      <c r="BA85" s="887"/>
      <c r="BB85" s="887"/>
      <c r="BC85" s="887"/>
      <c r="BD85" s="887"/>
      <c r="BE85" s="887"/>
      <c r="BF85" s="887"/>
      <c r="BG85" s="887"/>
      <c r="BH85" s="887"/>
      <c r="BI85" s="887"/>
      <c r="BJ85" s="887"/>
      <c r="BK85" s="887"/>
      <c r="BL85" s="887"/>
      <c r="BM85" s="887"/>
      <c r="BN85" s="887"/>
      <c r="BO85" s="887"/>
      <c r="BP85" s="887"/>
      <c r="BQ85" s="887"/>
      <c r="BR85" s="887"/>
      <c r="BS85" s="887"/>
      <c r="BT85" s="888"/>
    </row>
    <row r="86" spans="1:72" hidden="1" x14ac:dyDescent="0.2">
      <c r="A86" s="519"/>
      <c r="C86" s="485"/>
      <c r="D86" s="485"/>
      <c r="E86" s="485"/>
      <c r="F86" s="485"/>
      <c r="G86" s="485"/>
      <c r="H86" s="485"/>
      <c r="I86" s="485"/>
      <c r="J86" s="485"/>
      <c r="K86" s="485"/>
      <c r="L86" s="515"/>
      <c r="M86" s="515"/>
      <c r="N86" s="515"/>
      <c r="O86" s="516"/>
      <c r="P86" s="516"/>
      <c r="Q86" s="516"/>
      <c r="R86" s="516"/>
      <c r="S86" s="511"/>
      <c r="T86" s="511"/>
      <c r="U86" s="511"/>
      <c r="V86" s="511"/>
      <c r="W86" s="511"/>
      <c r="X86" s="511"/>
      <c r="Y86" s="511"/>
      <c r="Z86" s="518"/>
      <c r="AM86" s="518"/>
    </row>
    <row r="87" spans="1:72" ht="39.950000000000003" hidden="1" customHeight="1" x14ac:dyDescent="0.2">
      <c r="C87" s="519"/>
      <c r="D87" s="519"/>
      <c r="E87" s="519"/>
      <c r="F87" s="519"/>
      <c r="G87" s="519"/>
      <c r="H87" s="519"/>
      <c r="I87" s="519"/>
      <c r="J87" s="519"/>
      <c r="K87" s="519"/>
      <c r="L87" s="520"/>
      <c r="M87" s="520"/>
      <c r="N87" s="518"/>
      <c r="O87" s="518"/>
      <c r="P87" s="518"/>
      <c r="Q87" s="518"/>
      <c r="R87" s="518"/>
      <c r="S87" s="518"/>
      <c r="T87" s="518"/>
      <c r="U87" s="518"/>
      <c r="V87" s="518"/>
      <c r="W87" s="518"/>
      <c r="X87" s="518"/>
      <c r="Y87" s="518"/>
      <c r="Z87" s="518"/>
      <c r="AM87" s="886" t="s">
        <v>256</v>
      </c>
      <c r="AN87" s="887"/>
      <c r="AO87" s="887"/>
      <c r="AP87" s="887"/>
      <c r="AQ87" s="887"/>
      <c r="AR87" s="887"/>
      <c r="AS87" s="887"/>
      <c r="AT87" s="887"/>
      <c r="AU87" s="887"/>
      <c r="AV87" s="887"/>
      <c r="AW87" s="887"/>
      <c r="AX87" s="887"/>
      <c r="AY87" s="887"/>
      <c r="AZ87" s="887"/>
      <c r="BA87" s="887"/>
      <c r="BB87" s="887"/>
      <c r="BC87" s="887"/>
      <c r="BD87" s="887"/>
      <c r="BE87" s="887"/>
      <c r="BF87" s="887"/>
      <c r="BG87" s="887"/>
      <c r="BH87" s="887"/>
      <c r="BI87" s="887"/>
      <c r="BJ87" s="887"/>
      <c r="BK87" s="887"/>
      <c r="BL87" s="887"/>
      <c r="BM87" s="887"/>
      <c r="BN87" s="887"/>
      <c r="BO87" s="887"/>
      <c r="BP87" s="887"/>
      <c r="BQ87" s="887"/>
      <c r="BR87" s="887"/>
      <c r="BS87" s="887"/>
      <c r="BT87" s="888"/>
    </row>
    <row r="88" spans="1:72" hidden="1" x14ac:dyDescent="0.2">
      <c r="A88" s="519"/>
      <c r="C88" s="485"/>
      <c r="D88" s="485"/>
      <c r="E88" s="485"/>
      <c r="F88" s="485"/>
      <c r="G88" s="485"/>
      <c r="H88" s="485"/>
      <c r="I88" s="485"/>
      <c r="J88" s="485"/>
      <c r="K88" s="485"/>
      <c r="L88" s="515"/>
      <c r="M88" s="515"/>
      <c r="N88" s="515"/>
      <c r="O88" s="516"/>
      <c r="P88" s="516"/>
      <c r="Q88" s="516"/>
      <c r="R88" s="516"/>
      <c r="S88" s="511"/>
      <c r="T88" s="511"/>
      <c r="U88" s="511"/>
      <c r="V88" s="511"/>
      <c r="W88" s="511"/>
      <c r="X88" s="511"/>
      <c r="Y88" s="511"/>
      <c r="Z88" s="518"/>
      <c r="AM88" s="518"/>
    </row>
    <row r="89" spans="1:72" ht="39.950000000000003" hidden="1" customHeight="1" x14ac:dyDescent="0.2">
      <c r="C89" s="519"/>
      <c r="D89" s="519"/>
      <c r="E89" s="519"/>
      <c r="F89" s="519"/>
      <c r="G89" s="519"/>
      <c r="H89" s="519"/>
      <c r="I89" s="519"/>
      <c r="J89" s="519"/>
      <c r="K89" s="519"/>
      <c r="L89" s="520"/>
      <c r="M89" s="520"/>
      <c r="N89" s="518"/>
      <c r="O89" s="518"/>
      <c r="P89" s="518"/>
      <c r="Q89" s="518"/>
      <c r="R89" s="518"/>
      <c r="S89" s="518"/>
      <c r="T89" s="518"/>
      <c r="U89" s="518"/>
      <c r="V89" s="518"/>
      <c r="W89" s="518"/>
      <c r="X89" s="518"/>
      <c r="Y89" s="518"/>
      <c r="Z89" s="518"/>
      <c r="AM89" s="886" t="s">
        <v>257</v>
      </c>
      <c r="AN89" s="887"/>
      <c r="AO89" s="887"/>
      <c r="AP89" s="887"/>
      <c r="AQ89" s="887"/>
      <c r="AR89" s="887"/>
      <c r="AS89" s="887"/>
      <c r="AT89" s="887"/>
      <c r="AU89" s="887"/>
      <c r="AV89" s="887"/>
      <c r="AW89" s="887"/>
      <c r="AX89" s="887"/>
      <c r="AY89" s="887"/>
      <c r="AZ89" s="887"/>
      <c r="BA89" s="887"/>
      <c r="BB89" s="887"/>
      <c r="BC89" s="887"/>
      <c r="BD89" s="887"/>
      <c r="BE89" s="887"/>
      <c r="BF89" s="887"/>
      <c r="BG89" s="887"/>
      <c r="BH89" s="887"/>
      <c r="BI89" s="887"/>
      <c r="BJ89" s="887"/>
      <c r="BK89" s="887"/>
      <c r="BL89" s="887"/>
      <c r="BM89" s="887"/>
      <c r="BN89" s="887"/>
      <c r="BO89" s="887"/>
      <c r="BP89" s="887"/>
      <c r="BQ89" s="887"/>
      <c r="BR89" s="887"/>
      <c r="BS89" s="887"/>
      <c r="BT89" s="888"/>
    </row>
    <row r="90" spans="1:72" hidden="1" x14ac:dyDescent="0.2">
      <c r="A90" s="520"/>
      <c r="C90" s="485"/>
      <c r="D90" s="485"/>
      <c r="E90" s="485"/>
      <c r="F90" s="485"/>
      <c r="G90" s="485"/>
      <c r="H90" s="485"/>
      <c r="I90" s="485"/>
      <c r="J90" s="485"/>
      <c r="K90" s="485"/>
      <c r="L90" s="515"/>
      <c r="M90" s="515"/>
      <c r="N90" s="515"/>
      <c r="O90" s="516"/>
      <c r="P90" s="516"/>
      <c r="Q90" s="516"/>
      <c r="R90" s="516"/>
      <c r="S90" s="511"/>
      <c r="T90" s="511"/>
      <c r="U90" s="511"/>
      <c r="V90" s="511"/>
      <c r="W90" s="511"/>
      <c r="X90" s="511"/>
      <c r="Y90" s="511"/>
      <c r="Z90" s="518"/>
      <c r="AM90" s="518"/>
    </row>
    <row r="91" spans="1:72" ht="39.950000000000003" hidden="1" customHeight="1" x14ac:dyDescent="0.2">
      <c r="C91" s="519"/>
      <c r="D91" s="519"/>
      <c r="E91" s="519"/>
      <c r="F91" s="519"/>
      <c r="G91" s="519"/>
      <c r="H91" s="519"/>
      <c r="I91" s="519"/>
      <c r="J91" s="519"/>
      <c r="K91" s="519"/>
      <c r="L91" s="520"/>
      <c r="M91" s="520"/>
      <c r="N91" s="518"/>
      <c r="O91" s="518"/>
      <c r="P91" s="518"/>
      <c r="Q91" s="518"/>
      <c r="R91" s="518"/>
      <c r="S91" s="518"/>
      <c r="T91" s="518"/>
      <c r="U91" s="518"/>
      <c r="V91" s="518"/>
      <c r="W91" s="518"/>
      <c r="X91" s="518"/>
      <c r="Y91" s="518"/>
      <c r="Z91" s="518"/>
      <c r="AM91" s="886" t="s">
        <v>258</v>
      </c>
      <c r="AN91" s="887"/>
      <c r="AO91" s="887"/>
      <c r="AP91" s="887"/>
      <c r="AQ91" s="887"/>
      <c r="AR91" s="887"/>
      <c r="AS91" s="887"/>
      <c r="AT91" s="887"/>
      <c r="AU91" s="887"/>
      <c r="AV91" s="887"/>
      <c r="AW91" s="887"/>
      <c r="AX91" s="887"/>
      <c r="AY91" s="887"/>
      <c r="AZ91" s="887"/>
      <c r="BA91" s="887"/>
      <c r="BB91" s="887"/>
      <c r="BC91" s="887"/>
      <c r="BD91" s="887"/>
      <c r="BE91" s="887"/>
      <c r="BF91" s="887"/>
      <c r="BG91" s="887"/>
      <c r="BH91" s="887"/>
      <c r="BI91" s="887"/>
      <c r="BJ91" s="887"/>
      <c r="BK91" s="887"/>
      <c r="BL91" s="887"/>
      <c r="BM91" s="887"/>
      <c r="BN91" s="887"/>
      <c r="BO91" s="887"/>
      <c r="BP91" s="887"/>
      <c r="BQ91" s="887"/>
      <c r="BR91" s="887"/>
      <c r="BS91" s="887"/>
      <c r="BT91" s="888"/>
    </row>
    <row r="92" spans="1:72" s="521" customFormat="1" hidden="1" x14ac:dyDescent="0.2">
      <c r="A92" s="518"/>
      <c r="C92" s="522"/>
      <c r="D92" s="522"/>
      <c r="E92" s="522"/>
      <c r="F92" s="522"/>
      <c r="G92" s="522"/>
      <c r="H92" s="522"/>
      <c r="I92" s="522"/>
      <c r="J92" s="522"/>
      <c r="K92" s="522"/>
      <c r="L92" s="523"/>
      <c r="M92" s="523"/>
      <c r="N92" s="523"/>
      <c r="O92" s="524"/>
      <c r="P92" s="524"/>
      <c r="Q92" s="524"/>
      <c r="R92" s="524"/>
      <c r="S92" s="524"/>
      <c r="T92" s="524"/>
      <c r="U92" s="524"/>
      <c r="V92" s="522"/>
      <c r="W92" s="511"/>
      <c r="X92" s="511"/>
      <c r="Y92" s="511"/>
      <c r="Z92" s="518"/>
      <c r="AM92" s="518"/>
      <c r="AZ92" s="525"/>
      <c r="BA92" s="525"/>
      <c r="BB92" s="526"/>
      <c r="BC92" s="526"/>
      <c r="BF92" s="467"/>
      <c r="BG92" s="467"/>
      <c r="BH92" s="467"/>
      <c r="BI92" s="467"/>
      <c r="BJ92" s="467"/>
      <c r="BK92" s="467"/>
      <c r="BL92" s="467"/>
      <c r="BM92" s="467"/>
      <c r="BN92" s="467"/>
      <c r="BO92" s="467"/>
      <c r="BP92" s="467"/>
      <c r="BQ92" s="467"/>
      <c r="BR92" s="469"/>
      <c r="BS92" s="467"/>
    </row>
    <row r="93" spans="1:72" ht="39.950000000000003" hidden="1" customHeight="1" x14ac:dyDescent="0.2">
      <c r="C93" s="519"/>
      <c r="D93" s="519"/>
      <c r="E93" s="519"/>
      <c r="F93" s="519"/>
      <c r="G93" s="519"/>
      <c r="H93" s="519"/>
      <c r="I93" s="519"/>
      <c r="J93" s="519"/>
      <c r="K93" s="519"/>
      <c r="L93" s="520"/>
      <c r="M93" s="520"/>
      <c r="N93" s="518"/>
      <c r="O93" s="518"/>
      <c r="P93" s="518"/>
      <c r="Q93" s="518"/>
      <c r="R93" s="518"/>
      <c r="S93" s="518"/>
      <c r="T93" s="518"/>
      <c r="U93" s="518"/>
      <c r="V93" s="518"/>
      <c r="W93" s="518"/>
      <c r="X93" s="518"/>
      <c r="Y93" s="518"/>
      <c r="Z93" s="518"/>
      <c r="AM93" s="886" t="s">
        <v>259</v>
      </c>
      <c r="AN93" s="887"/>
      <c r="AO93" s="887"/>
      <c r="AP93" s="887"/>
      <c r="AQ93" s="887"/>
      <c r="AR93" s="887"/>
      <c r="AS93" s="887"/>
      <c r="AT93" s="887"/>
      <c r="AU93" s="887"/>
      <c r="AV93" s="887"/>
      <c r="AW93" s="887"/>
      <c r="AX93" s="887"/>
      <c r="AY93" s="887"/>
      <c r="AZ93" s="887"/>
      <c r="BA93" s="887"/>
      <c r="BB93" s="887"/>
      <c r="BC93" s="887"/>
      <c r="BD93" s="887"/>
      <c r="BE93" s="887"/>
      <c r="BF93" s="887"/>
      <c r="BG93" s="887"/>
      <c r="BH93" s="887"/>
      <c r="BI93" s="887"/>
      <c r="BJ93" s="887"/>
      <c r="BK93" s="887"/>
      <c r="BL93" s="887"/>
      <c r="BM93" s="887"/>
      <c r="BN93" s="887"/>
      <c r="BO93" s="887"/>
      <c r="BP93" s="887"/>
      <c r="BQ93" s="887"/>
      <c r="BR93" s="887"/>
      <c r="BS93" s="887"/>
      <c r="BT93" s="888"/>
    </row>
    <row r="94" spans="1:72" s="521" customFormat="1" hidden="1" x14ac:dyDescent="0.2">
      <c r="A94" s="518"/>
      <c r="C94" s="522"/>
      <c r="D94" s="522"/>
      <c r="E94" s="522"/>
      <c r="F94" s="522"/>
      <c r="G94" s="522"/>
      <c r="H94" s="522"/>
      <c r="I94" s="522"/>
      <c r="J94" s="522"/>
      <c r="K94" s="522"/>
      <c r="L94" s="523"/>
      <c r="M94" s="523"/>
      <c r="N94" s="523"/>
      <c r="O94" s="524"/>
      <c r="P94" s="524"/>
      <c r="Q94" s="524"/>
      <c r="R94" s="524"/>
      <c r="S94" s="524"/>
      <c r="T94" s="524"/>
      <c r="U94" s="524"/>
      <c r="V94" s="522"/>
      <c r="W94" s="511"/>
      <c r="X94" s="511"/>
      <c r="Y94" s="511"/>
      <c r="Z94" s="518"/>
      <c r="AM94" s="518"/>
      <c r="AZ94" s="525"/>
      <c r="BA94" s="525"/>
      <c r="BB94" s="526"/>
      <c r="BC94" s="526"/>
      <c r="BF94" s="467"/>
      <c r="BG94" s="467"/>
      <c r="BH94" s="467"/>
      <c r="BI94" s="467"/>
      <c r="BJ94" s="467"/>
      <c r="BK94" s="467"/>
      <c r="BL94" s="467"/>
      <c r="BM94" s="467"/>
      <c r="BN94" s="467"/>
      <c r="BO94" s="467"/>
      <c r="BP94" s="467"/>
      <c r="BQ94" s="467"/>
      <c r="BR94" s="469"/>
      <c r="BS94" s="467"/>
    </row>
    <row r="95" spans="1:72" ht="39.950000000000003" hidden="1" customHeight="1" x14ac:dyDescent="0.2">
      <c r="C95" s="519"/>
      <c r="D95" s="519"/>
      <c r="E95" s="519"/>
      <c r="F95" s="519"/>
      <c r="G95" s="519"/>
      <c r="H95" s="519"/>
      <c r="I95" s="519"/>
      <c r="J95" s="519"/>
      <c r="K95" s="519"/>
      <c r="L95" s="520"/>
      <c r="M95" s="520"/>
      <c r="N95" s="518"/>
      <c r="O95" s="518"/>
      <c r="P95" s="518"/>
      <c r="Q95" s="518"/>
      <c r="R95" s="518"/>
      <c r="S95" s="518"/>
      <c r="T95" s="518"/>
      <c r="U95" s="518"/>
      <c r="V95" s="518"/>
      <c r="W95" s="518"/>
      <c r="X95" s="518"/>
      <c r="Y95" s="518"/>
      <c r="Z95" s="518"/>
      <c r="AM95" s="886" t="s">
        <v>260</v>
      </c>
      <c r="AN95" s="887"/>
      <c r="AO95" s="887"/>
      <c r="AP95" s="887"/>
      <c r="AQ95" s="887"/>
      <c r="AR95" s="887"/>
      <c r="AS95" s="887"/>
      <c r="AT95" s="887"/>
      <c r="AU95" s="887"/>
      <c r="AV95" s="887"/>
      <c r="AW95" s="887"/>
      <c r="AX95" s="887"/>
      <c r="AY95" s="887"/>
      <c r="AZ95" s="887"/>
      <c r="BA95" s="887"/>
      <c r="BB95" s="887"/>
      <c r="BC95" s="887"/>
      <c r="BD95" s="887"/>
      <c r="BE95" s="887"/>
      <c r="BF95" s="887"/>
      <c r="BG95" s="887"/>
      <c r="BH95" s="887"/>
      <c r="BI95" s="887"/>
      <c r="BJ95" s="887"/>
      <c r="BK95" s="887"/>
      <c r="BL95" s="887"/>
      <c r="BM95" s="887"/>
      <c r="BN95" s="887"/>
      <c r="BO95" s="887"/>
      <c r="BP95" s="887"/>
      <c r="BQ95" s="887"/>
      <c r="BR95" s="887"/>
      <c r="BS95" s="887"/>
      <c r="BT95" s="888"/>
    </row>
    <row r="96" spans="1:72" s="521" customFormat="1" hidden="1" x14ac:dyDescent="0.2">
      <c r="A96" s="518"/>
      <c r="C96" s="522"/>
      <c r="D96" s="522"/>
      <c r="E96" s="522"/>
      <c r="F96" s="522"/>
      <c r="G96" s="522"/>
      <c r="H96" s="522"/>
      <c r="I96" s="522"/>
      <c r="J96" s="522"/>
      <c r="K96" s="522"/>
      <c r="L96" s="523"/>
      <c r="M96" s="523"/>
      <c r="N96" s="523"/>
      <c r="O96" s="524"/>
      <c r="P96" s="524"/>
      <c r="Q96" s="524"/>
      <c r="R96" s="524"/>
      <c r="S96" s="524"/>
      <c r="T96" s="524"/>
      <c r="U96" s="524"/>
      <c r="V96" s="522"/>
      <c r="W96" s="511"/>
      <c r="X96" s="511"/>
      <c r="Y96" s="511"/>
      <c r="Z96" s="518"/>
      <c r="AM96" s="518"/>
      <c r="AZ96" s="525"/>
      <c r="BA96" s="525"/>
      <c r="BB96" s="526"/>
      <c r="BC96" s="526"/>
      <c r="BF96" s="467"/>
      <c r="BG96" s="467"/>
      <c r="BH96" s="467"/>
      <c r="BI96" s="467"/>
      <c r="BJ96" s="467"/>
      <c r="BK96" s="467"/>
      <c r="BL96" s="467"/>
      <c r="BM96" s="467"/>
      <c r="BN96" s="467"/>
      <c r="BO96" s="467"/>
      <c r="BP96" s="467"/>
      <c r="BQ96" s="467"/>
      <c r="BR96" s="469"/>
      <c r="BS96" s="467"/>
    </row>
    <row r="97" spans="1:73" ht="39.950000000000003" hidden="1" customHeight="1" x14ac:dyDescent="0.2">
      <c r="C97" s="519"/>
      <c r="D97" s="519"/>
      <c r="E97" s="519"/>
      <c r="F97" s="519"/>
      <c r="G97" s="519"/>
      <c r="H97" s="519"/>
      <c r="I97" s="519"/>
      <c r="J97" s="519"/>
      <c r="K97" s="519"/>
      <c r="L97" s="520"/>
      <c r="M97" s="520"/>
      <c r="N97" s="518"/>
      <c r="O97" s="518"/>
      <c r="P97" s="518"/>
      <c r="Q97" s="518"/>
      <c r="R97" s="518"/>
      <c r="S97" s="518"/>
      <c r="T97" s="518"/>
      <c r="U97" s="518"/>
      <c r="V97" s="518"/>
      <c r="W97" s="518"/>
      <c r="X97" s="518"/>
      <c r="Y97" s="518"/>
      <c r="Z97" s="518"/>
      <c r="AM97" s="886" t="s">
        <v>261</v>
      </c>
      <c r="AN97" s="887"/>
      <c r="AO97" s="887"/>
      <c r="AP97" s="887"/>
      <c r="AQ97" s="887"/>
      <c r="AR97" s="887"/>
      <c r="AS97" s="887"/>
      <c r="AT97" s="887"/>
      <c r="AU97" s="887"/>
      <c r="AV97" s="887"/>
      <c r="AW97" s="887"/>
      <c r="AX97" s="887"/>
      <c r="AY97" s="887"/>
      <c r="AZ97" s="887"/>
      <c r="BA97" s="887"/>
      <c r="BB97" s="887"/>
      <c r="BC97" s="887"/>
      <c r="BD97" s="887"/>
      <c r="BE97" s="887"/>
      <c r="BF97" s="887"/>
      <c r="BG97" s="887"/>
      <c r="BH97" s="887"/>
      <c r="BI97" s="887"/>
      <c r="BJ97" s="887"/>
      <c r="BK97" s="887"/>
      <c r="BL97" s="887"/>
      <c r="BM97" s="887"/>
      <c r="BN97" s="887"/>
      <c r="BO97" s="887"/>
      <c r="BP97" s="887"/>
      <c r="BQ97" s="887"/>
      <c r="BR97" s="887"/>
      <c r="BS97" s="887"/>
      <c r="BT97" s="888"/>
    </row>
    <row r="98" spans="1:73" hidden="1" x14ac:dyDescent="0.2">
      <c r="A98" s="518"/>
      <c r="C98" s="485"/>
      <c r="D98" s="485"/>
      <c r="E98" s="485"/>
      <c r="F98" s="485"/>
      <c r="G98" s="485"/>
      <c r="H98" s="485"/>
      <c r="I98" s="485"/>
      <c r="J98" s="485"/>
      <c r="K98" s="485"/>
      <c r="L98" s="515"/>
      <c r="M98" s="515"/>
      <c r="N98" s="515"/>
      <c r="O98" s="516"/>
      <c r="P98" s="516"/>
      <c r="Q98" s="516"/>
      <c r="R98" s="516"/>
      <c r="S98" s="516"/>
      <c r="T98" s="516"/>
      <c r="U98" s="516"/>
      <c r="V98" s="516"/>
      <c r="W98" s="485"/>
      <c r="X98" s="485"/>
      <c r="Y98" s="485"/>
      <c r="Z98" s="518"/>
      <c r="AM98" s="518"/>
    </row>
    <row r="99" spans="1:73" ht="39.950000000000003" hidden="1" customHeight="1" x14ac:dyDescent="0.2">
      <c r="C99" s="519"/>
      <c r="D99" s="519"/>
      <c r="E99" s="519"/>
      <c r="F99" s="519"/>
      <c r="G99" s="519"/>
      <c r="H99" s="519"/>
      <c r="I99" s="519"/>
      <c r="J99" s="519"/>
      <c r="K99" s="519"/>
      <c r="L99" s="520"/>
      <c r="M99" s="520"/>
      <c r="N99" s="518"/>
      <c r="O99" s="518"/>
      <c r="P99" s="518"/>
      <c r="Q99" s="518"/>
      <c r="R99" s="518"/>
      <c r="S99" s="518"/>
      <c r="T99" s="518"/>
      <c r="U99" s="518"/>
      <c r="V99" s="518"/>
      <c r="W99" s="518"/>
      <c r="X99" s="518"/>
      <c r="Y99" s="518"/>
      <c r="Z99" s="518"/>
      <c r="AM99" s="886" t="s">
        <v>262</v>
      </c>
      <c r="AN99" s="887"/>
      <c r="AO99" s="887"/>
      <c r="AP99" s="887"/>
      <c r="AQ99" s="887"/>
      <c r="AR99" s="887"/>
      <c r="AS99" s="887"/>
      <c r="AT99" s="887"/>
      <c r="AU99" s="887"/>
      <c r="AV99" s="887"/>
      <c r="AW99" s="887"/>
      <c r="AX99" s="887"/>
      <c r="AY99" s="887"/>
      <c r="AZ99" s="887"/>
      <c r="BA99" s="887"/>
      <c r="BB99" s="887"/>
      <c r="BC99" s="887"/>
      <c r="BD99" s="887"/>
      <c r="BE99" s="887"/>
      <c r="BF99" s="887"/>
      <c r="BG99" s="887"/>
      <c r="BH99" s="887"/>
      <c r="BI99" s="887"/>
      <c r="BJ99" s="887"/>
      <c r="BK99" s="887"/>
      <c r="BL99" s="887"/>
      <c r="BM99" s="887"/>
      <c r="BN99" s="887"/>
      <c r="BO99" s="887"/>
      <c r="BP99" s="887"/>
      <c r="BQ99" s="887"/>
      <c r="BR99" s="887"/>
      <c r="BS99" s="887"/>
      <c r="BT99" s="888"/>
    </row>
    <row r="100" spans="1:73" ht="15.75" customHeight="1" x14ac:dyDescent="0.2">
      <c r="A100" s="518"/>
      <c r="C100" s="485"/>
      <c r="D100" s="485"/>
      <c r="E100" s="485"/>
      <c r="F100" s="485"/>
      <c r="G100" s="485"/>
      <c r="H100" s="485"/>
      <c r="I100" s="485"/>
      <c r="J100" s="485"/>
      <c r="K100" s="485"/>
      <c r="L100" s="515"/>
      <c r="M100" s="515"/>
      <c r="N100" s="515"/>
      <c r="O100" s="516"/>
      <c r="P100" s="516"/>
      <c r="Q100" s="516"/>
      <c r="R100" s="516"/>
      <c r="S100" s="516"/>
      <c r="T100" s="516"/>
      <c r="U100" s="516"/>
      <c r="V100" s="516"/>
      <c r="W100" s="485"/>
      <c r="X100" s="485"/>
      <c r="Y100" s="485"/>
      <c r="Z100" s="518"/>
    </row>
    <row r="101" spans="1:73" x14ac:dyDescent="0.2">
      <c r="A101" s="518"/>
    </row>
    <row r="102" spans="1:73" x14ac:dyDescent="0.2">
      <c r="A102" s="518"/>
    </row>
    <row r="103" spans="1:73" x14ac:dyDescent="0.2">
      <c r="A103" s="518"/>
    </row>
    <row r="104" spans="1:73" x14ac:dyDescent="0.2">
      <c r="A104" s="518"/>
    </row>
    <row r="105" spans="1:73" x14ac:dyDescent="0.2">
      <c r="A105" s="527"/>
    </row>
    <row r="106" spans="1:73" x14ac:dyDescent="0.2">
      <c r="A106" s="518"/>
    </row>
    <row r="107" spans="1:73" x14ac:dyDescent="0.2">
      <c r="A107" s="518"/>
    </row>
    <row r="108" spans="1:73" x14ac:dyDescent="0.2">
      <c r="A108" s="518"/>
    </row>
    <row r="109" spans="1:73" x14ac:dyDescent="0.2">
      <c r="A109" s="518"/>
      <c r="BU109" s="509"/>
    </row>
    <row r="110" spans="1:73" x14ac:dyDescent="0.2">
      <c r="A110" s="518"/>
    </row>
    <row r="111" spans="1:73" x14ac:dyDescent="0.2">
      <c r="A111" s="528"/>
    </row>
    <row r="120" spans="12:55" x14ac:dyDescent="0.2">
      <c r="L120" s="467"/>
      <c r="M120" s="467"/>
      <c r="N120" s="467"/>
      <c r="O120" s="467"/>
      <c r="P120" s="467"/>
      <c r="Q120" s="467"/>
      <c r="R120" s="467"/>
      <c r="S120" s="467"/>
      <c r="T120" s="467"/>
      <c r="U120" s="467"/>
      <c r="V120" s="467"/>
      <c r="AC120" s="467"/>
      <c r="AG120" s="467"/>
      <c r="AH120" s="467"/>
      <c r="AZ120" s="467"/>
      <c r="BA120" s="467"/>
      <c r="BB120" s="467"/>
      <c r="BC120" s="467"/>
    </row>
    <row r="121" spans="12:55" x14ac:dyDescent="0.2">
      <c r="L121" s="467"/>
      <c r="M121" s="467"/>
      <c r="N121" s="467"/>
      <c r="O121" s="467"/>
      <c r="P121" s="467"/>
      <c r="Q121" s="467"/>
      <c r="R121" s="467"/>
      <c r="S121" s="467"/>
      <c r="T121" s="467"/>
      <c r="U121" s="467"/>
      <c r="V121" s="467"/>
      <c r="AC121" s="467"/>
      <c r="AG121" s="467"/>
      <c r="AH121" s="467"/>
      <c r="AZ121" s="467"/>
      <c r="BA121" s="467"/>
      <c r="BB121" s="467"/>
      <c r="BC121" s="467"/>
    </row>
    <row r="122" spans="12:55" x14ac:dyDescent="0.2">
      <c r="L122" s="467"/>
      <c r="M122" s="467"/>
      <c r="N122" s="467"/>
      <c r="O122" s="467"/>
      <c r="P122" s="467"/>
      <c r="Q122" s="467"/>
      <c r="R122" s="467"/>
      <c r="S122" s="467"/>
      <c r="T122" s="467"/>
      <c r="U122" s="467"/>
      <c r="V122" s="467"/>
      <c r="AC122" s="467"/>
      <c r="AG122" s="467"/>
      <c r="AH122" s="467"/>
      <c r="AZ122" s="467"/>
      <c r="BA122" s="467"/>
      <c r="BB122" s="467"/>
      <c r="BC122" s="467"/>
    </row>
    <row r="123" spans="12:55" x14ac:dyDescent="0.2">
      <c r="L123" s="467"/>
      <c r="M123" s="467"/>
      <c r="N123" s="467"/>
      <c r="O123" s="467"/>
      <c r="P123" s="467"/>
      <c r="Q123" s="467"/>
      <c r="R123" s="467"/>
      <c r="S123" s="467"/>
      <c r="T123" s="467"/>
      <c r="U123" s="467"/>
      <c r="V123" s="467"/>
      <c r="AC123" s="467"/>
      <c r="AG123" s="467"/>
      <c r="AH123" s="467"/>
      <c r="AZ123" s="467"/>
      <c r="BA123" s="467"/>
      <c r="BB123" s="467"/>
      <c r="BC123" s="467"/>
    </row>
    <row r="124" spans="12:55" x14ac:dyDescent="0.2">
      <c r="L124" s="467"/>
      <c r="M124" s="467"/>
      <c r="N124" s="467"/>
      <c r="O124" s="467"/>
      <c r="P124" s="467"/>
      <c r="Q124" s="467"/>
      <c r="R124" s="467"/>
      <c r="S124" s="467"/>
      <c r="T124" s="467"/>
      <c r="U124" s="467"/>
      <c r="V124" s="467"/>
      <c r="AC124" s="467"/>
      <c r="AG124" s="467"/>
      <c r="AH124" s="467"/>
      <c r="AZ124" s="467"/>
      <c r="BA124" s="467"/>
      <c r="BB124" s="467"/>
      <c r="BC124" s="467"/>
    </row>
    <row r="125" spans="12:55" x14ac:dyDescent="0.2">
      <c r="L125" s="467"/>
      <c r="M125" s="467"/>
      <c r="N125" s="467"/>
      <c r="O125" s="467"/>
      <c r="P125" s="467"/>
      <c r="Q125" s="467"/>
      <c r="R125" s="467"/>
      <c r="S125" s="467"/>
      <c r="T125" s="467"/>
      <c r="U125" s="467"/>
      <c r="V125" s="467"/>
      <c r="AC125" s="467"/>
      <c r="AG125" s="467"/>
      <c r="AH125" s="467"/>
      <c r="AZ125" s="467"/>
      <c r="BA125" s="467"/>
      <c r="BB125" s="467"/>
      <c r="BC125" s="467"/>
    </row>
    <row r="126" spans="12:55" x14ac:dyDescent="0.2">
      <c r="L126" s="467"/>
      <c r="M126" s="467"/>
      <c r="N126" s="467"/>
      <c r="O126" s="467"/>
      <c r="P126" s="467"/>
      <c r="Q126" s="467"/>
      <c r="R126" s="467"/>
      <c r="S126" s="467"/>
      <c r="T126" s="467"/>
      <c r="U126" s="467"/>
      <c r="V126" s="467"/>
      <c r="AC126" s="467"/>
      <c r="AG126" s="467"/>
      <c r="AH126" s="467"/>
      <c r="AZ126" s="467"/>
      <c r="BA126" s="467"/>
      <c r="BB126" s="467"/>
      <c r="BC126" s="467"/>
    </row>
    <row r="127" spans="12:55" x14ac:dyDescent="0.2">
      <c r="L127" s="467"/>
      <c r="M127" s="467"/>
      <c r="N127" s="467"/>
      <c r="O127" s="467"/>
      <c r="P127" s="467"/>
      <c r="Q127" s="467"/>
      <c r="R127" s="467"/>
      <c r="S127" s="467"/>
      <c r="T127" s="467"/>
      <c r="U127" s="467"/>
      <c r="V127" s="467"/>
      <c r="AC127" s="467"/>
      <c r="AG127" s="467"/>
      <c r="AH127" s="467"/>
      <c r="AZ127" s="467"/>
      <c r="BA127" s="467"/>
      <c r="BB127" s="467"/>
      <c r="BC127" s="467"/>
    </row>
    <row r="128" spans="12:55" x14ac:dyDescent="0.2">
      <c r="L128" s="467"/>
      <c r="M128" s="467"/>
      <c r="N128" s="467"/>
      <c r="O128" s="467"/>
      <c r="P128" s="467"/>
      <c r="Q128" s="467"/>
      <c r="R128" s="467"/>
      <c r="S128" s="467"/>
      <c r="T128" s="467"/>
      <c r="U128" s="467"/>
      <c r="V128" s="467"/>
      <c r="AC128" s="467"/>
      <c r="AG128" s="467"/>
      <c r="AH128" s="467"/>
      <c r="AZ128" s="467"/>
      <c r="BA128" s="467"/>
      <c r="BB128" s="467"/>
      <c r="BC128" s="467"/>
    </row>
    <row r="129" spans="12:55" x14ac:dyDescent="0.2">
      <c r="L129" s="467"/>
      <c r="M129" s="467"/>
      <c r="N129" s="467"/>
      <c r="O129" s="467"/>
      <c r="P129" s="467"/>
      <c r="Q129" s="467"/>
      <c r="R129" s="467"/>
      <c r="S129" s="467"/>
      <c r="T129" s="467"/>
      <c r="U129" s="467"/>
      <c r="V129" s="467"/>
      <c r="AC129" s="467"/>
      <c r="AG129" s="467"/>
      <c r="AH129" s="467"/>
      <c r="AZ129" s="467"/>
      <c r="BA129" s="467"/>
      <c r="BB129" s="467"/>
      <c r="BC129" s="467"/>
    </row>
    <row r="130" spans="12:55" x14ac:dyDescent="0.2">
      <c r="L130" s="467"/>
      <c r="M130" s="467"/>
      <c r="N130" s="467"/>
      <c r="O130" s="467"/>
      <c r="P130" s="467"/>
      <c r="Q130" s="467"/>
      <c r="R130" s="467"/>
      <c r="S130" s="467"/>
      <c r="T130" s="467"/>
      <c r="U130" s="467"/>
      <c r="V130" s="467"/>
      <c r="AC130" s="467"/>
      <c r="AG130" s="467"/>
      <c r="AH130" s="467"/>
      <c r="AZ130" s="467"/>
      <c r="BA130" s="467"/>
      <c r="BB130" s="467"/>
      <c r="BC130" s="467"/>
    </row>
    <row r="131" spans="12:55" x14ac:dyDescent="0.2">
      <c r="L131" s="467"/>
      <c r="M131" s="467"/>
      <c r="N131" s="467"/>
      <c r="O131" s="467"/>
      <c r="P131" s="467"/>
      <c r="Q131" s="467"/>
      <c r="R131" s="467"/>
      <c r="S131" s="467"/>
      <c r="T131" s="467"/>
      <c r="U131" s="467"/>
      <c r="V131" s="467"/>
      <c r="AC131" s="467"/>
      <c r="AG131" s="467"/>
      <c r="AH131" s="467"/>
      <c r="AZ131" s="467"/>
      <c r="BA131" s="467"/>
      <c r="BB131" s="467"/>
      <c r="BC131" s="467"/>
    </row>
    <row r="132" spans="12:55" x14ac:dyDescent="0.2">
      <c r="L132" s="467"/>
      <c r="M132" s="467"/>
      <c r="N132" s="467"/>
      <c r="O132" s="467"/>
      <c r="P132" s="467"/>
      <c r="Q132" s="467"/>
      <c r="R132" s="467"/>
      <c r="S132" s="467"/>
      <c r="T132" s="467"/>
      <c r="U132" s="467"/>
      <c r="V132" s="467"/>
      <c r="AC132" s="467"/>
      <c r="AG132" s="467"/>
      <c r="AH132" s="467"/>
      <c r="AZ132" s="467"/>
      <c r="BA132" s="467"/>
      <c r="BB132" s="467"/>
      <c r="BC132" s="467"/>
    </row>
    <row r="133" spans="12:55" x14ac:dyDescent="0.2">
      <c r="L133" s="467"/>
      <c r="M133" s="467"/>
      <c r="N133" s="467"/>
      <c r="O133" s="467"/>
      <c r="P133" s="467"/>
      <c r="Q133" s="467"/>
      <c r="R133" s="467"/>
      <c r="S133" s="467"/>
      <c r="T133" s="467"/>
      <c r="U133" s="467"/>
      <c r="V133" s="467"/>
      <c r="AC133" s="467"/>
      <c r="AG133" s="467"/>
      <c r="AH133" s="467"/>
      <c r="AZ133" s="467"/>
      <c r="BA133" s="467"/>
      <c r="BB133" s="467"/>
      <c r="BC133" s="467"/>
    </row>
    <row r="134" spans="12:55" x14ac:dyDescent="0.2">
      <c r="L134" s="467"/>
      <c r="M134" s="467"/>
      <c r="N134" s="467"/>
      <c r="O134" s="467"/>
      <c r="P134" s="467"/>
      <c r="Q134" s="467"/>
      <c r="R134" s="467"/>
      <c r="S134" s="467"/>
      <c r="T134" s="467"/>
      <c r="U134" s="467"/>
      <c r="V134" s="467"/>
      <c r="AC134" s="467"/>
      <c r="AG134" s="467"/>
      <c r="AH134" s="467"/>
      <c r="AZ134" s="467"/>
      <c r="BA134" s="467"/>
      <c r="BB134" s="467"/>
      <c r="BC134" s="467"/>
    </row>
    <row r="135" spans="12:55" x14ac:dyDescent="0.2">
      <c r="L135" s="467"/>
      <c r="M135" s="467"/>
      <c r="N135" s="467"/>
      <c r="O135" s="467"/>
      <c r="P135" s="467"/>
      <c r="Q135" s="467"/>
      <c r="R135" s="467"/>
      <c r="S135" s="467"/>
      <c r="T135" s="467"/>
      <c r="U135" s="467"/>
      <c r="V135" s="467"/>
      <c r="AC135" s="467"/>
      <c r="AG135" s="467"/>
      <c r="AH135" s="467"/>
      <c r="AZ135" s="467"/>
      <c r="BA135" s="467"/>
      <c r="BB135" s="467"/>
      <c r="BC135" s="467"/>
    </row>
    <row r="136" spans="12:55" x14ac:dyDescent="0.2">
      <c r="L136" s="467"/>
      <c r="M136" s="467"/>
      <c r="N136" s="467"/>
      <c r="O136" s="467"/>
      <c r="P136" s="467"/>
      <c r="Q136" s="467"/>
      <c r="R136" s="467"/>
      <c r="S136" s="467"/>
      <c r="T136" s="467"/>
      <c r="U136" s="467"/>
      <c r="V136" s="467"/>
      <c r="AC136" s="467"/>
      <c r="AG136" s="467"/>
      <c r="AH136" s="467"/>
      <c r="AZ136" s="467"/>
      <c r="BA136" s="467"/>
      <c r="BB136" s="467"/>
      <c r="BC136" s="467"/>
    </row>
    <row r="137" spans="12:55" x14ac:dyDescent="0.2">
      <c r="L137" s="467"/>
      <c r="M137" s="467"/>
      <c r="N137" s="467"/>
      <c r="O137" s="467"/>
      <c r="P137" s="467"/>
      <c r="Q137" s="467"/>
      <c r="R137" s="467"/>
      <c r="S137" s="467"/>
      <c r="T137" s="467"/>
      <c r="U137" s="467"/>
      <c r="V137" s="467"/>
      <c r="AC137" s="467"/>
      <c r="AG137" s="467"/>
      <c r="AH137" s="467"/>
      <c r="AZ137" s="467"/>
      <c r="BA137" s="467"/>
      <c r="BB137" s="467"/>
      <c r="BC137" s="467"/>
    </row>
    <row r="138" spans="12:55" x14ac:dyDescent="0.2">
      <c r="L138" s="467"/>
      <c r="M138" s="467"/>
      <c r="N138" s="467"/>
      <c r="O138" s="467"/>
      <c r="P138" s="467"/>
      <c r="Q138" s="467"/>
      <c r="R138" s="467"/>
      <c r="S138" s="467"/>
      <c r="T138" s="467"/>
      <c r="U138" s="467"/>
      <c r="V138" s="467"/>
      <c r="AC138" s="467"/>
      <c r="AG138" s="467"/>
      <c r="AH138" s="467"/>
      <c r="AZ138" s="467"/>
      <c r="BA138" s="467"/>
      <c r="BB138" s="467"/>
      <c r="BC138" s="467"/>
    </row>
    <row r="139" spans="12:55" x14ac:dyDescent="0.2">
      <c r="L139" s="467"/>
      <c r="M139" s="467"/>
      <c r="N139" s="467"/>
      <c r="O139" s="467"/>
      <c r="P139" s="467"/>
      <c r="Q139" s="467"/>
      <c r="R139" s="467"/>
      <c r="S139" s="467"/>
      <c r="T139" s="467"/>
      <c r="U139" s="467"/>
      <c r="V139" s="467"/>
      <c r="AC139" s="467"/>
      <c r="AG139" s="467"/>
      <c r="AH139" s="467"/>
      <c r="AZ139" s="467"/>
      <c r="BA139" s="467"/>
      <c r="BB139" s="467"/>
      <c r="BC139" s="467"/>
    </row>
    <row r="140" spans="12:55" x14ac:dyDescent="0.2">
      <c r="L140" s="467"/>
      <c r="M140" s="467"/>
      <c r="N140" s="467"/>
      <c r="O140" s="467"/>
      <c r="P140" s="467"/>
      <c r="Q140" s="467"/>
      <c r="R140" s="467"/>
      <c r="S140" s="467"/>
      <c r="T140" s="467"/>
      <c r="U140" s="467"/>
      <c r="V140" s="467"/>
      <c r="AC140" s="467"/>
      <c r="AG140" s="467"/>
      <c r="AH140" s="467"/>
      <c r="AZ140" s="467"/>
      <c r="BA140" s="467"/>
      <c r="BB140" s="467"/>
      <c r="BC140" s="467"/>
    </row>
    <row r="141" spans="12:55" x14ac:dyDescent="0.2">
      <c r="L141" s="467"/>
      <c r="M141" s="467"/>
      <c r="N141" s="467"/>
      <c r="O141" s="467"/>
      <c r="P141" s="467"/>
      <c r="Q141" s="467"/>
      <c r="R141" s="467"/>
      <c r="S141" s="467"/>
      <c r="T141" s="467"/>
      <c r="U141" s="467"/>
      <c r="V141" s="467"/>
      <c r="AC141" s="467"/>
      <c r="AG141" s="467"/>
      <c r="AH141" s="467"/>
      <c r="AZ141" s="467"/>
      <c r="BA141" s="467"/>
      <c r="BB141" s="467"/>
      <c r="BC141" s="467"/>
    </row>
    <row r="142" spans="12:55" x14ac:dyDescent="0.2">
      <c r="L142" s="467"/>
      <c r="M142" s="467"/>
      <c r="N142" s="467"/>
      <c r="O142" s="467"/>
      <c r="P142" s="467"/>
      <c r="Q142" s="467"/>
      <c r="R142" s="467"/>
      <c r="S142" s="467"/>
      <c r="T142" s="467"/>
      <c r="U142" s="467"/>
      <c r="V142" s="467"/>
      <c r="AC142" s="467"/>
      <c r="AG142" s="467"/>
      <c r="AH142" s="467"/>
      <c r="AZ142" s="467"/>
      <c r="BA142" s="467"/>
      <c r="BB142" s="467"/>
      <c r="BC142" s="467"/>
    </row>
    <row r="143" spans="12:55" x14ac:dyDescent="0.2">
      <c r="L143" s="467"/>
      <c r="M143" s="467"/>
      <c r="N143" s="467"/>
      <c r="O143" s="467"/>
      <c r="P143" s="467"/>
      <c r="Q143" s="467"/>
      <c r="R143" s="467"/>
      <c r="S143" s="467"/>
      <c r="T143" s="467"/>
      <c r="U143" s="467"/>
      <c r="V143" s="467"/>
      <c r="AC143" s="467"/>
      <c r="AG143" s="467"/>
      <c r="AH143" s="467"/>
      <c r="AZ143" s="467"/>
      <c r="BA143" s="467"/>
      <c r="BB143" s="467"/>
      <c r="BC143" s="467"/>
    </row>
    <row r="144" spans="12:55" x14ac:dyDescent="0.2">
      <c r="L144" s="467"/>
      <c r="M144" s="467"/>
      <c r="N144" s="467"/>
      <c r="O144" s="467"/>
      <c r="P144" s="467"/>
      <c r="Q144" s="467"/>
      <c r="R144" s="467"/>
      <c r="S144" s="467"/>
      <c r="T144" s="467"/>
      <c r="U144" s="467"/>
      <c r="V144" s="467"/>
      <c r="AC144" s="467"/>
      <c r="AG144" s="467"/>
      <c r="AH144" s="467"/>
      <c r="AZ144" s="467"/>
      <c r="BA144" s="467"/>
      <c r="BB144" s="467"/>
      <c r="BC144" s="467"/>
    </row>
    <row r="145" spans="12:55" x14ac:dyDescent="0.2">
      <c r="L145" s="467"/>
      <c r="M145" s="467"/>
      <c r="N145" s="467"/>
      <c r="O145" s="467"/>
      <c r="P145" s="467"/>
      <c r="Q145" s="467"/>
      <c r="R145" s="467"/>
      <c r="S145" s="467"/>
      <c r="T145" s="467"/>
      <c r="U145" s="467"/>
      <c r="V145" s="467"/>
      <c r="AC145" s="467"/>
      <c r="AG145" s="467"/>
      <c r="AH145" s="467"/>
      <c r="AZ145" s="467"/>
      <c r="BA145" s="467"/>
      <c r="BB145" s="467"/>
      <c r="BC145" s="467"/>
    </row>
    <row r="146" spans="12:55" x14ac:dyDescent="0.2">
      <c r="L146" s="467"/>
      <c r="M146" s="467"/>
      <c r="N146" s="467"/>
      <c r="O146" s="467"/>
      <c r="P146" s="467"/>
      <c r="Q146" s="467"/>
      <c r="R146" s="467"/>
      <c r="S146" s="467"/>
      <c r="T146" s="467"/>
      <c r="U146" s="467"/>
      <c r="V146" s="467"/>
      <c r="AC146" s="467"/>
      <c r="AG146" s="467"/>
      <c r="AH146" s="467"/>
      <c r="AZ146" s="467"/>
      <c r="BA146" s="467"/>
      <c r="BB146" s="467"/>
      <c r="BC146" s="467"/>
    </row>
    <row r="147" spans="12:55" x14ac:dyDescent="0.2">
      <c r="L147" s="467"/>
      <c r="M147" s="467"/>
      <c r="N147" s="467"/>
      <c r="O147" s="467"/>
      <c r="P147" s="467"/>
      <c r="Q147" s="467"/>
      <c r="R147" s="467"/>
      <c r="S147" s="467"/>
      <c r="T147" s="467"/>
      <c r="U147" s="467"/>
      <c r="V147" s="467"/>
      <c r="AC147" s="467"/>
      <c r="AG147" s="467"/>
      <c r="AH147" s="467"/>
      <c r="AZ147" s="467"/>
      <c r="BA147" s="467"/>
      <c r="BB147" s="467"/>
      <c r="BC147" s="467"/>
    </row>
    <row r="148" spans="12:55" x14ac:dyDescent="0.2">
      <c r="L148" s="467"/>
      <c r="M148" s="467"/>
      <c r="N148" s="467"/>
      <c r="O148" s="467"/>
      <c r="P148" s="467"/>
      <c r="Q148" s="467"/>
      <c r="R148" s="467"/>
      <c r="S148" s="467"/>
      <c r="T148" s="467"/>
      <c r="U148" s="467"/>
      <c r="V148" s="467"/>
      <c r="AC148" s="467"/>
      <c r="AG148" s="467"/>
      <c r="AH148" s="467"/>
      <c r="AZ148" s="467"/>
      <c r="BA148" s="467"/>
      <c r="BB148" s="467"/>
      <c r="BC148" s="467"/>
    </row>
    <row r="149" spans="12:55" x14ac:dyDescent="0.2">
      <c r="L149" s="467"/>
      <c r="M149" s="467"/>
      <c r="N149" s="467"/>
      <c r="O149" s="467"/>
      <c r="P149" s="467"/>
      <c r="Q149" s="467"/>
      <c r="R149" s="467"/>
      <c r="S149" s="467"/>
      <c r="T149" s="467"/>
      <c r="U149" s="467"/>
      <c r="V149" s="467"/>
      <c r="AC149" s="467"/>
      <c r="AG149" s="467"/>
      <c r="AH149" s="467"/>
      <c r="AZ149" s="467"/>
      <c r="BA149" s="467"/>
      <c r="BB149" s="467"/>
      <c r="BC149" s="467"/>
    </row>
    <row r="150" spans="12:55" x14ac:dyDescent="0.2">
      <c r="L150" s="467"/>
      <c r="M150" s="467"/>
      <c r="N150" s="467"/>
      <c r="O150" s="467"/>
      <c r="P150" s="467"/>
      <c r="Q150" s="467"/>
      <c r="R150" s="467"/>
      <c r="S150" s="467"/>
      <c r="T150" s="467"/>
      <c r="U150" s="467"/>
      <c r="V150" s="467"/>
      <c r="AC150" s="467"/>
      <c r="AG150" s="467"/>
      <c r="AH150" s="467"/>
      <c r="AZ150" s="467"/>
      <c r="BA150" s="467"/>
      <c r="BB150" s="467"/>
      <c r="BC150" s="467"/>
    </row>
    <row r="151" spans="12:55" x14ac:dyDescent="0.2">
      <c r="L151" s="467"/>
      <c r="M151" s="467"/>
      <c r="N151" s="467"/>
      <c r="O151" s="467"/>
      <c r="P151" s="467"/>
      <c r="Q151" s="467"/>
      <c r="R151" s="467"/>
      <c r="S151" s="467"/>
      <c r="T151" s="467"/>
      <c r="U151" s="467"/>
      <c r="V151" s="467"/>
      <c r="AC151" s="467"/>
      <c r="AG151" s="467"/>
      <c r="AH151" s="467"/>
      <c r="AZ151" s="467"/>
      <c r="BA151" s="467"/>
      <c r="BB151" s="467"/>
      <c r="BC151" s="467"/>
    </row>
    <row r="152" spans="12:55" x14ac:dyDescent="0.2">
      <c r="L152" s="467"/>
      <c r="M152" s="467"/>
      <c r="N152" s="467"/>
      <c r="O152" s="467"/>
      <c r="P152" s="467"/>
      <c r="Q152" s="467"/>
      <c r="R152" s="467"/>
      <c r="S152" s="467"/>
      <c r="T152" s="467"/>
      <c r="U152" s="467"/>
      <c r="V152" s="467"/>
      <c r="AC152" s="467"/>
      <c r="AG152" s="467"/>
      <c r="AH152" s="467"/>
      <c r="AZ152" s="467"/>
      <c r="BA152" s="467"/>
      <c r="BB152" s="467"/>
      <c r="BC152" s="467"/>
    </row>
    <row r="153" spans="12:55" x14ac:dyDescent="0.2">
      <c r="L153" s="467"/>
      <c r="M153" s="467"/>
      <c r="N153" s="467"/>
      <c r="O153" s="467"/>
      <c r="P153" s="467"/>
      <c r="Q153" s="467"/>
      <c r="R153" s="467"/>
      <c r="S153" s="467"/>
      <c r="T153" s="467"/>
      <c r="U153" s="467"/>
      <c r="V153" s="467"/>
      <c r="AC153" s="467"/>
      <c r="AG153" s="467"/>
      <c r="AH153" s="467"/>
      <c r="AZ153" s="467"/>
      <c r="BA153" s="467"/>
      <c r="BB153" s="467"/>
      <c r="BC153" s="467"/>
    </row>
    <row r="154" spans="12:55" x14ac:dyDescent="0.2">
      <c r="L154" s="467"/>
      <c r="M154" s="467"/>
      <c r="N154" s="467"/>
      <c r="O154" s="467"/>
      <c r="P154" s="467"/>
      <c r="Q154" s="467"/>
      <c r="R154" s="467"/>
      <c r="S154" s="467"/>
      <c r="T154" s="467"/>
      <c r="U154" s="467"/>
      <c r="V154" s="467"/>
      <c r="AC154" s="467"/>
      <c r="AG154" s="467"/>
      <c r="AH154" s="467"/>
      <c r="AZ154" s="467"/>
      <c r="BA154" s="467"/>
      <c r="BB154" s="467"/>
      <c r="BC154" s="467"/>
    </row>
    <row r="155" spans="12:55" x14ac:dyDescent="0.2">
      <c r="L155" s="467"/>
      <c r="M155" s="467"/>
      <c r="N155" s="467"/>
      <c r="O155" s="467"/>
      <c r="P155" s="467"/>
      <c r="Q155" s="467"/>
      <c r="R155" s="467"/>
      <c r="S155" s="467"/>
      <c r="T155" s="467"/>
      <c r="U155" s="467"/>
      <c r="V155" s="467"/>
      <c r="AC155" s="467"/>
      <c r="AG155" s="467"/>
      <c r="AH155" s="467"/>
      <c r="AZ155" s="467"/>
      <c r="BA155" s="467"/>
      <c r="BB155" s="467"/>
      <c r="BC155" s="467"/>
    </row>
    <row r="156" spans="12:55" x14ac:dyDescent="0.2">
      <c r="L156" s="467"/>
      <c r="M156" s="467"/>
      <c r="N156" s="467"/>
      <c r="O156" s="467"/>
      <c r="P156" s="467"/>
      <c r="Q156" s="467"/>
      <c r="R156" s="467"/>
      <c r="S156" s="467"/>
      <c r="T156" s="467"/>
      <c r="U156" s="467"/>
      <c r="V156" s="467"/>
      <c r="AC156" s="467"/>
      <c r="AG156" s="467"/>
      <c r="AH156" s="467"/>
      <c r="AZ156" s="467"/>
      <c r="BA156" s="467"/>
      <c r="BB156" s="467"/>
      <c r="BC156" s="467"/>
    </row>
    <row r="157" spans="12:55" x14ac:dyDescent="0.2">
      <c r="L157" s="467"/>
      <c r="M157" s="467"/>
      <c r="N157" s="467"/>
      <c r="O157" s="467"/>
      <c r="P157" s="467"/>
      <c r="Q157" s="467"/>
      <c r="R157" s="467"/>
      <c r="S157" s="467"/>
      <c r="T157" s="467"/>
      <c r="U157" s="467"/>
      <c r="V157" s="467"/>
      <c r="AC157" s="467"/>
      <c r="AG157" s="467"/>
      <c r="AH157" s="467"/>
      <c r="AZ157" s="467"/>
      <c r="BA157" s="467"/>
      <c r="BB157" s="467"/>
      <c r="BC157" s="467"/>
    </row>
    <row r="158" spans="12:55" x14ac:dyDescent="0.2">
      <c r="L158" s="467"/>
      <c r="M158" s="467"/>
      <c r="N158" s="467"/>
      <c r="O158" s="467"/>
      <c r="P158" s="467"/>
      <c r="Q158" s="467"/>
      <c r="R158" s="467"/>
      <c r="S158" s="467"/>
      <c r="T158" s="467"/>
      <c r="U158" s="467"/>
      <c r="V158" s="467"/>
      <c r="AC158" s="467"/>
      <c r="AG158" s="467"/>
      <c r="AH158" s="467"/>
      <c r="AZ158" s="467"/>
      <c r="BA158" s="467"/>
      <c r="BB158" s="467"/>
      <c r="BC158" s="467"/>
    </row>
    <row r="159" spans="12:55" x14ac:dyDescent="0.2">
      <c r="L159" s="467"/>
      <c r="M159" s="467"/>
      <c r="N159" s="467"/>
      <c r="O159" s="467"/>
      <c r="P159" s="467"/>
      <c r="Q159" s="467"/>
      <c r="R159" s="467"/>
      <c r="S159" s="467"/>
      <c r="T159" s="467"/>
      <c r="U159" s="467"/>
      <c r="V159" s="467"/>
      <c r="AC159" s="467"/>
      <c r="AG159" s="467"/>
      <c r="AH159" s="467"/>
      <c r="AZ159" s="467"/>
      <c r="BA159" s="467"/>
      <c r="BB159" s="467"/>
      <c r="BC159" s="467"/>
    </row>
    <row r="160" spans="12:55" x14ac:dyDescent="0.2">
      <c r="L160" s="467"/>
      <c r="M160" s="467"/>
      <c r="N160" s="467"/>
      <c r="O160" s="467"/>
      <c r="P160" s="467"/>
      <c r="Q160" s="467"/>
      <c r="R160" s="467"/>
      <c r="S160" s="467"/>
      <c r="T160" s="467"/>
      <c r="U160" s="467"/>
      <c r="V160" s="467"/>
      <c r="AC160" s="467"/>
      <c r="AG160" s="467"/>
      <c r="AH160" s="467"/>
      <c r="AZ160" s="467"/>
      <c r="BA160" s="467"/>
      <c r="BB160" s="467"/>
      <c r="BC160" s="467"/>
    </row>
    <row r="161" spans="12:55" x14ac:dyDescent="0.2">
      <c r="L161" s="467"/>
      <c r="M161" s="467"/>
      <c r="N161" s="467"/>
      <c r="O161" s="467"/>
      <c r="P161" s="467"/>
      <c r="Q161" s="467"/>
      <c r="R161" s="467"/>
      <c r="S161" s="467"/>
      <c r="T161" s="467"/>
      <c r="U161" s="467"/>
      <c r="V161" s="467"/>
      <c r="AC161" s="467"/>
      <c r="AG161" s="467"/>
      <c r="AH161" s="467"/>
      <c r="AZ161" s="467"/>
      <c r="BA161" s="467"/>
      <c r="BB161" s="467"/>
      <c r="BC161" s="467"/>
    </row>
    <row r="162" spans="12:55" x14ac:dyDescent="0.2">
      <c r="L162" s="467"/>
      <c r="M162" s="467"/>
      <c r="N162" s="467"/>
      <c r="O162" s="467"/>
      <c r="P162" s="467"/>
      <c r="Q162" s="467"/>
      <c r="R162" s="467"/>
      <c r="S162" s="467"/>
      <c r="T162" s="467"/>
      <c r="U162" s="467"/>
      <c r="V162" s="467"/>
      <c r="AC162" s="467"/>
      <c r="AG162" s="467"/>
      <c r="AH162" s="467"/>
      <c r="AZ162" s="467"/>
      <c r="BA162" s="467"/>
      <c r="BB162" s="467"/>
      <c r="BC162" s="467"/>
    </row>
    <row r="163" spans="12:55" x14ac:dyDescent="0.2">
      <c r="L163" s="467"/>
      <c r="M163" s="467"/>
      <c r="N163" s="467"/>
      <c r="O163" s="467"/>
      <c r="P163" s="467"/>
      <c r="Q163" s="467"/>
      <c r="R163" s="467"/>
      <c r="S163" s="467"/>
      <c r="T163" s="467"/>
      <c r="U163" s="467"/>
      <c r="V163" s="467"/>
      <c r="AC163" s="467"/>
      <c r="AG163" s="467"/>
      <c r="AH163" s="467"/>
      <c r="AZ163" s="467"/>
      <c r="BA163" s="467"/>
      <c r="BB163" s="467"/>
      <c r="BC163" s="467"/>
    </row>
    <row r="164" spans="12:55" x14ac:dyDescent="0.2">
      <c r="L164" s="467"/>
      <c r="M164" s="467"/>
      <c r="N164" s="467"/>
      <c r="O164" s="467"/>
      <c r="P164" s="467"/>
      <c r="Q164" s="467"/>
      <c r="R164" s="467"/>
      <c r="S164" s="467"/>
      <c r="T164" s="467"/>
      <c r="U164" s="467"/>
      <c r="V164" s="467"/>
      <c r="AC164" s="467"/>
      <c r="AG164" s="467"/>
      <c r="AH164" s="467"/>
      <c r="AZ164" s="467"/>
      <c r="BA164" s="467"/>
      <c r="BB164" s="467"/>
      <c r="BC164" s="467"/>
    </row>
    <row r="165" spans="12:55" x14ac:dyDescent="0.2">
      <c r="L165" s="467"/>
      <c r="M165" s="467"/>
      <c r="N165" s="467"/>
      <c r="O165" s="467"/>
      <c r="P165" s="467"/>
      <c r="Q165" s="467"/>
      <c r="R165" s="467"/>
      <c r="S165" s="467"/>
      <c r="T165" s="467"/>
      <c r="U165" s="467"/>
      <c r="V165" s="467"/>
      <c r="AC165" s="467"/>
      <c r="AG165" s="467"/>
      <c r="AH165" s="467"/>
      <c r="AZ165" s="467"/>
      <c r="BA165" s="467"/>
      <c r="BB165" s="467"/>
      <c r="BC165" s="467"/>
    </row>
    <row r="166" spans="12:55" x14ac:dyDescent="0.2">
      <c r="L166" s="467"/>
      <c r="M166" s="467"/>
      <c r="N166" s="467"/>
      <c r="O166" s="467"/>
      <c r="P166" s="467"/>
      <c r="Q166" s="467"/>
      <c r="R166" s="467"/>
      <c r="S166" s="467"/>
      <c r="T166" s="467"/>
      <c r="U166" s="467"/>
      <c r="V166" s="467"/>
      <c r="AC166" s="467"/>
      <c r="AG166" s="467"/>
      <c r="AH166" s="467"/>
      <c r="AZ166" s="467"/>
      <c r="BA166" s="467"/>
      <c r="BB166" s="467"/>
      <c r="BC166" s="467"/>
    </row>
    <row r="167" spans="12:55" x14ac:dyDescent="0.2">
      <c r="L167" s="467"/>
      <c r="M167" s="467"/>
      <c r="N167" s="467"/>
      <c r="O167" s="467"/>
      <c r="P167" s="467"/>
      <c r="Q167" s="467"/>
      <c r="R167" s="467"/>
      <c r="S167" s="467"/>
      <c r="T167" s="467"/>
      <c r="U167" s="467"/>
      <c r="V167" s="467"/>
      <c r="AC167" s="467"/>
      <c r="AG167" s="467"/>
      <c r="AH167" s="467"/>
      <c r="AZ167" s="467"/>
      <c r="BA167" s="467"/>
      <c r="BB167" s="467"/>
      <c r="BC167" s="467"/>
    </row>
    <row r="168" spans="12:55" x14ac:dyDescent="0.2">
      <c r="L168" s="467"/>
      <c r="M168" s="467"/>
      <c r="N168" s="467"/>
      <c r="O168" s="467"/>
      <c r="P168" s="467"/>
      <c r="Q168" s="467"/>
      <c r="R168" s="467"/>
      <c r="S168" s="467"/>
      <c r="T168" s="467"/>
      <c r="U168" s="467"/>
      <c r="V168" s="467"/>
      <c r="AC168" s="467"/>
      <c r="AG168" s="467"/>
      <c r="AH168" s="467"/>
      <c r="AZ168" s="467"/>
      <c r="BA168" s="467"/>
      <c r="BB168" s="467"/>
      <c r="BC168" s="467"/>
    </row>
    <row r="169" spans="12:55" x14ac:dyDescent="0.2">
      <c r="L169" s="467"/>
      <c r="M169" s="467"/>
      <c r="N169" s="467"/>
      <c r="O169" s="467"/>
      <c r="P169" s="467"/>
      <c r="Q169" s="467"/>
      <c r="R169" s="467"/>
      <c r="S169" s="467"/>
      <c r="T169" s="467"/>
      <c r="U169" s="467"/>
      <c r="V169" s="467"/>
      <c r="AC169" s="467"/>
      <c r="AG169" s="467"/>
      <c r="AH169" s="467"/>
      <c r="AZ169" s="467"/>
      <c r="BA169" s="467"/>
      <c r="BB169" s="467"/>
      <c r="BC169" s="467"/>
    </row>
    <row r="170" spans="12:55" x14ac:dyDescent="0.2">
      <c r="L170" s="467"/>
      <c r="M170" s="467"/>
      <c r="N170" s="467"/>
      <c r="O170" s="467"/>
      <c r="P170" s="467"/>
      <c r="Q170" s="467"/>
      <c r="R170" s="467"/>
      <c r="S170" s="467"/>
      <c r="T170" s="467"/>
      <c r="U170" s="467"/>
      <c r="V170" s="467"/>
      <c r="AC170" s="467"/>
      <c r="AG170" s="467"/>
      <c r="AH170" s="467"/>
      <c r="AZ170" s="467"/>
      <c r="BA170" s="467"/>
      <c r="BB170" s="467"/>
      <c r="BC170" s="467"/>
    </row>
    <row r="171" spans="12:55" x14ac:dyDescent="0.2">
      <c r="L171" s="467"/>
      <c r="M171" s="467"/>
      <c r="N171" s="467"/>
      <c r="O171" s="467"/>
      <c r="P171" s="467"/>
      <c r="Q171" s="467"/>
      <c r="R171" s="467"/>
      <c r="S171" s="467"/>
      <c r="T171" s="467"/>
      <c r="U171" s="467"/>
      <c r="V171" s="467"/>
      <c r="AC171" s="467"/>
      <c r="AG171" s="467"/>
      <c r="AH171" s="467"/>
      <c r="AZ171" s="467"/>
      <c r="BA171" s="467"/>
      <c r="BB171" s="467"/>
      <c r="BC171" s="467"/>
    </row>
    <row r="172" spans="12:55" x14ac:dyDescent="0.2">
      <c r="L172" s="467"/>
      <c r="M172" s="467"/>
      <c r="N172" s="467"/>
      <c r="O172" s="467"/>
      <c r="P172" s="467"/>
      <c r="Q172" s="467"/>
      <c r="R172" s="467"/>
      <c r="S172" s="467"/>
      <c r="T172" s="467"/>
      <c r="U172" s="467"/>
      <c r="V172" s="467"/>
      <c r="AC172" s="467"/>
      <c r="AG172" s="467"/>
      <c r="AH172" s="467"/>
      <c r="AZ172" s="467"/>
      <c r="BA172" s="467"/>
      <c r="BB172" s="467"/>
      <c r="BC172" s="467"/>
    </row>
    <row r="173" spans="12:55" x14ac:dyDescent="0.2">
      <c r="L173" s="467"/>
      <c r="M173" s="467"/>
      <c r="N173" s="467"/>
      <c r="O173" s="467"/>
      <c r="P173" s="467"/>
      <c r="Q173" s="467"/>
      <c r="R173" s="467"/>
      <c r="S173" s="467"/>
      <c r="T173" s="467"/>
      <c r="U173" s="467"/>
      <c r="V173" s="467"/>
      <c r="AC173" s="467"/>
      <c r="AG173" s="467"/>
      <c r="AH173" s="467"/>
      <c r="AZ173" s="467"/>
      <c r="BA173" s="467"/>
      <c r="BB173" s="467"/>
      <c r="BC173" s="467"/>
    </row>
    <row r="174" spans="12:55" x14ac:dyDescent="0.2">
      <c r="L174" s="467"/>
      <c r="M174" s="467"/>
      <c r="N174" s="467"/>
      <c r="O174" s="467"/>
      <c r="P174" s="467"/>
      <c r="Q174" s="467"/>
      <c r="R174" s="467"/>
      <c r="S174" s="467"/>
      <c r="T174" s="467"/>
      <c r="U174" s="467"/>
      <c r="V174" s="467"/>
      <c r="AC174" s="467"/>
      <c r="AG174" s="467"/>
      <c r="AH174" s="467"/>
      <c r="AZ174" s="467"/>
      <c r="BA174" s="467"/>
      <c r="BB174" s="467"/>
      <c r="BC174" s="467"/>
    </row>
    <row r="175" spans="12:55" x14ac:dyDescent="0.2">
      <c r="L175" s="467"/>
      <c r="M175" s="467"/>
      <c r="N175" s="467"/>
      <c r="O175" s="467"/>
      <c r="P175" s="467"/>
      <c r="Q175" s="467"/>
      <c r="R175" s="467"/>
      <c r="S175" s="467"/>
      <c r="T175" s="467"/>
      <c r="U175" s="467"/>
      <c r="V175" s="467"/>
      <c r="AC175" s="467"/>
      <c r="AG175" s="467"/>
      <c r="AH175" s="467"/>
      <c r="AZ175" s="467"/>
      <c r="BA175" s="467"/>
      <c r="BB175" s="467"/>
      <c r="BC175" s="467"/>
    </row>
    <row r="176" spans="12:55" x14ac:dyDescent="0.2">
      <c r="L176" s="467"/>
      <c r="M176" s="467"/>
      <c r="N176" s="467"/>
      <c r="O176" s="467"/>
      <c r="P176" s="467"/>
      <c r="Q176" s="467"/>
      <c r="R176" s="467"/>
      <c r="S176" s="467"/>
      <c r="T176" s="467"/>
      <c r="U176" s="467"/>
      <c r="V176" s="467"/>
      <c r="AC176" s="467"/>
      <c r="AG176" s="467"/>
      <c r="AH176" s="467"/>
      <c r="AZ176" s="467"/>
      <c r="BA176" s="467"/>
      <c r="BB176" s="467"/>
      <c r="BC176" s="467"/>
    </row>
    <row r="177" spans="12:55" x14ac:dyDescent="0.2">
      <c r="L177" s="467"/>
      <c r="M177" s="467"/>
      <c r="N177" s="467"/>
      <c r="O177" s="467"/>
      <c r="P177" s="467"/>
      <c r="Q177" s="467"/>
      <c r="R177" s="467"/>
      <c r="S177" s="467"/>
      <c r="T177" s="467"/>
      <c r="U177" s="467"/>
      <c r="V177" s="467"/>
      <c r="AC177" s="467"/>
      <c r="AG177" s="467"/>
      <c r="AH177" s="467"/>
      <c r="AZ177" s="467"/>
      <c r="BA177" s="467"/>
      <c r="BB177" s="467"/>
      <c r="BC177" s="467"/>
    </row>
    <row r="178" spans="12:55" x14ac:dyDescent="0.2">
      <c r="L178" s="467"/>
      <c r="M178" s="467"/>
      <c r="N178" s="467"/>
      <c r="O178" s="467"/>
      <c r="P178" s="467"/>
      <c r="Q178" s="467"/>
      <c r="R178" s="467"/>
      <c r="S178" s="467"/>
      <c r="T178" s="467"/>
      <c r="U178" s="467"/>
      <c r="V178" s="467"/>
      <c r="AC178" s="467"/>
      <c r="AG178" s="467"/>
      <c r="AH178" s="467"/>
      <c r="AZ178" s="467"/>
      <c r="BA178" s="467"/>
      <c r="BB178" s="467"/>
      <c r="BC178" s="467"/>
    </row>
    <row r="179" spans="12:55" x14ac:dyDescent="0.2">
      <c r="L179" s="467"/>
      <c r="M179" s="467"/>
      <c r="N179" s="467"/>
      <c r="O179" s="467"/>
      <c r="P179" s="467"/>
      <c r="Q179" s="467"/>
      <c r="R179" s="467"/>
      <c r="S179" s="467"/>
      <c r="T179" s="467"/>
      <c r="U179" s="467"/>
      <c r="V179" s="467"/>
      <c r="AC179" s="467"/>
      <c r="AG179" s="467"/>
      <c r="AH179" s="467"/>
      <c r="AZ179" s="467"/>
      <c r="BA179" s="467"/>
      <c r="BB179" s="467"/>
      <c r="BC179" s="467"/>
    </row>
    <row r="180" spans="12:55" x14ac:dyDescent="0.2">
      <c r="L180" s="467"/>
      <c r="M180" s="467"/>
      <c r="N180" s="467"/>
      <c r="O180" s="467"/>
      <c r="P180" s="467"/>
      <c r="Q180" s="467"/>
      <c r="R180" s="467"/>
      <c r="S180" s="467"/>
      <c r="T180" s="467"/>
      <c r="U180" s="467"/>
      <c r="V180" s="467"/>
      <c r="AC180" s="467"/>
      <c r="AG180" s="467"/>
      <c r="AH180" s="467"/>
      <c r="AZ180" s="467"/>
      <c r="BA180" s="467"/>
      <c r="BB180" s="467"/>
      <c r="BC180" s="467"/>
    </row>
    <row r="181" spans="12:55" x14ac:dyDescent="0.2">
      <c r="L181" s="467"/>
      <c r="M181" s="467"/>
      <c r="N181" s="467"/>
      <c r="O181" s="467"/>
      <c r="P181" s="467"/>
      <c r="Q181" s="467"/>
      <c r="R181" s="467"/>
      <c r="S181" s="467"/>
      <c r="T181" s="467"/>
      <c r="U181" s="467"/>
      <c r="V181" s="467"/>
      <c r="AC181" s="467"/>
      <c r="AG181" s="467"/>
      <c r="AH181" s="467"/>
      <c r="AZ181" s="467"/>
      <c r="BA181" s="467"/>
      <c r="BB181" s="467"/>
      <c r="BC181" s="467"/>
    </row>
    <row r="182" spans="12:55" x14ac:dyDescent="0.2">
      <c r="L182" s="467"/>
      <c r="M182" s="467"/>
      <c r="N182" s="467"/>
      <c r="O182" s="467"/>
      <c r="P182" s="467"/>
      <c r="Q182" s="467"/>
      <c r="R182" s="467"/>
      <c r="S182" s="467"/>
      <c r="T182" s="467"/>
      <c r="U182" s="467"/>
      <c r="V182" s="467"/>
      <c r="AC182" s="467"/>
      <c r="AG182" s="467"/>
      <c r="AH182" s="467"/>
      <c r="AZ182" s="467"/>
      <c r="BA182" s="467"/>
      <c r="BB182" s="467"/>
      <c r="BC182" s="467"/>
    </row>
    <row r="183" spans="12:55" x14ac:dyDescent="0.2">
      <c r="L183" s="467"/>
      <c r="M183" s="467"/>
      <c r="N183" s="467"/>
      <c r="O183" s="467"/>
      <c r="P183" s="467"/>
      <c r="Q183" s="467"/>
      <c r="R183" s="467"/>
      <c r="S183" s="467"/>
      <c r="T183" s="467"/>
      <c r="U183" s="467"/>
      <c r="V183" s="467"/>
      <c r="AC183" s="467"/>
      <c r="AG183" s="467"/>
      <c r="AH183" s="467"/>
      <c r="AZ183" s="467"/>
      <c r="BA183" s="467"/>
      <c r="BB183" s="467"/>
      <c r="BC183" s="467"/>
    </row>
    <row r="184" spans="12:55" x14ac:dyDescent="0.2">
      <c r="L184" s="467"/>
      <c r="M184" s="467"/>
      <c r="N184" s="467"/>
      <c r="O184" s="467"/>
      <c r="P184" s="467"/>
      <c r="Q184" s="467"/>
      <c r="R184" s="467"/>
      <c r="S184" s="467"/>
      <c r="T184" s="467"/>
      <c r="U184" s="467"/>
      <c r="V184" s="467"/>
      <c r="AC184" s="467"/>
      <c r="AG184" s="467"/>
      <c r="AH184" s="467"/>
      <c r="AZ184" s="467"/>
      <c r="BA184" s="467"/>
      <c r="BB184" s="467"/>
      <c r="BC184" s="467"/>
    </row>
    <row r="185" spans="12:55" x14ac:dyDescent="0.2">
      <c r="L185" s="467"/>
      <c r="M185" s="467"/>
      <c r="N185" s="467"/>
      <c r="O185" s="467"/>
      <c r="P185" s="467"/>
      <c r="Q185" s="467"/>
      <c r="R185" s="467"/>
      <c r="S185" s="467"/>
      <c r="T185" s="467"/>
      <c r="U185" s="467"/>
      <c r="V185" s="467"/>
      <c r="AC185" s="467"/>
      <c r="AG185" s="467"/>
      <c r="AH185" s="467"/>
      <c r="AZ185" s="467"/>
      <c r="BA185" s="467"/>
      <c r="BB185" s="467"/>
      <c r="BC185" s="467"/>
    </row>
    <row r="186" spans="12:55" x14ac:dyDescent="0.2">
      <c r="L186" s="467"/>
      <c r="M186" s="467"/>
      <c r="N186" s="467"/>
      <c r="O186" s="467"/>
      <c r="P186" s="467"/>
      <c r="Q186" s="467"/>
      <c r="R186" s="467"/>
      <c r="S186" s="467"/>
      <c r="T186" s="467"/>
      <c r="U186" s="467"/>
      <c r="V186" s="467"/>
      <c r="AC186" s="467"/>
      <c r="AG186" s="467"/>
      <c r="AH186" s="467"/>
      <c r="AZ186" s="467"/>
      <c r="BA186" s="467"/>
      <c r="BB186" s="467"/>
      <c r="BC186" s="467"/>
    </row>
    <row r="187" spans="12:55" x14ac:dyDescent="0.2">
      <c r="L187" s="467"/>
      <c r="M187" s="467"/>
      <c r="N187" s="467"/>
      <c r="O187" s="467"/>
      <c r="P187" s="467"/>
      <c r="Q187" s="467"/>
      <c r="R187" s="467"/>
      <c r="S187" s="467"/>
      <c r="T187" s="467"/>
      <c r="U187" s="467"/>
      <c r="V187" s="467"/>
      <c r="AC187" s="467"/>
      <c r="AG187" s="467"/>
      <c r="AH187" s="467"/>
      <c r="AZ187" s="467"/>
      <c r="BA187" s="467"/>
      <c r="BB187" s="467"/>
      <c r="BC187" s="467"/>
    </row>
    <row r="188" spans="12:55" x14ac:dyDescent="0.2">
      <c r="L188" s="467"/>
      <c r="M188" s="467"/>
      <c r="N188" s="467"/>
      <c r="O188" s="467"/>
      <c r="P188" s="467"/>
      <c r="Q188" s="467"/>
      <c r="R188" s="467"/>
      <c r="S188" s="467"/>
      <c r="T188" s="467"/>
      <c r="U188" s="467"/>
      <c r="V188" s="467"/>
      <c r="AC188" s="467"/>
      <c r="AG188" s="467"/>
      <c r="AH188" s="467"/>
      <c r="AZ188" s="467"/>
      <c r="BA188" s="467"/>
      <c r="BB188" s="467"/>
      <c r="BC188" s="467"/>
    </row>
    <row r="189" spans="12:55" x14ac:dyDescent="0.2">
      <c r="L189" s="467"/>
      <c r="M189" s="467"/>
      <c r="N189" s="467"/>
      <c r="O189" s="467"/>
      <c r="P189" s="467"/>
      <c r="Q189" s="467"/>
      <c r="R189" s="467"/>
      <c r="S189" s="467"/>
      <c r="T189" s="467"/>
      <c r="U189" s="467"/>
      <c r="V189" s="467"/>
      <c r="AC189" s="467"/>
      <c r="AG189" s="467"/>
      <c r="AH189" s="467"/>
      <c r="AZ189" s="467"/>
      <c r="BA189" s="467"/>
      <c r="BB189" s="467"/>
      <c r="BC189" s="467"/>
    </row>
    <row r="190" spans="12:55" x14ac:dyDescent="0.2">
      <c r="L190" s="467"/>
      <c r="M190" s="467"/>
      <c r="N190" s="467"/>
      <c r="O190" s="467"/>
      <c r="P190" s="467"/>
      <c r="Q190" s="467"/>
      <c r="R190" s="467"/>
      <c r="S190" s="467"/>
      <c r="T190" s="467"/>
      <c r="U190" s="467"/>
      <c r="V190" s="467"/>
      <c r="AC190" s="467"/>
      <c r="AG190" s="467"/>
      <c r="AH190" s="467"/>
      <c r="AZ190" s="467"/>
      <c r="BA190" s="467"/>
      <c r="BB190" s="467"/>
      <c r="BC190" s="467"/>
    </row>
    <row r="191" spans="12:55" x14ac:dyDescent="0.2">
      <c r="L191" s="467"/>
      <c r="M191" s="467"/>
      <c r="N191" s="467"/>
      <c r="O191" s="467"/>
      <c r="P191" s="467"/>
      <c r="Q191" s="467"/>
      <c r="R191" s="467"/>
      <c r="S191" s="467"/>
      <c r="T191" s="467"/>
      <c r="U191" s="467"/>
      <c r="V191" s="467"/>
      <c r="AC191" s="467"/>
      <c r="AG191" s="467"/>
      <c r="AH191" s="467"/>
      <c r="AZ191" s="467"/>
      <c r="BA191" s="467"/>
      <c r="BB191" s="467"/>
      <c r="BC191" s="467"/>
    </row>
    <row r="192" spans="12:55" x14ac:dyDescent="0.2">
      <c r="L192" s="467"/>
      <c r="M192" s="467"/>
      <c r="N192" s="467"/>
      <c r="O192" s="467"/>
      <c r="P192" s="467"/>
      <c r="Q192" s="467"/>
      <c r="R192" s="467"/>
      <c r="S192" s="467"/>
      <c r="T192" s="467"/>
      <c r="U192" s="467"/>
      <c r="V192" s="467"/>
      <c r="AC192" s="467"/>
      <c r="AG192" s="467"/>
      <c r="AH192" s="467"/>
      <c r="AZ192" s="467"/>
      <c r="BA192" s="467"/>
      <c r="BB192" s="467"/>
      <c r="BC192" s="467"/>
    </row>
    <row r="193" spans="12:55" x14ac:dyDescent="0.2">
      <c r="L193" s="467"/>
      <c r="M193" s="467"/>
      <c r="N193" s="467"/>
      <c r="O193" s="467"/>
      <c r="P193" s="467"/>
      <c r="Q193" s="467"/>
      <c r="R193" s="467"/>
      <c r="S193" s="467"/>
      <c r="T193" s="467"/>
      <c r="U193" s="467"/>
      <c r="V193" s="467"/>
      <c r="AC193" s="467"/>
      <c r="AG193" s="467"/>
      <c r="AH193" s="467"/>
      <c r="AZ193" s="467"/>
      <c r="BA193" s="467"/>
      <c r="BB193" s="467"/>
      <c r="BC193" s="467"/>
    </row>
    <row r="194" spans="12:55" x14ac:dyDescent="0.2">
      <c r="L194" s="467"/>
      <c r="M194" s="467"/>
      <c r="N194" s="467"/>
      <c r="O194" s="467"/>
      <c r="P194" s="467"/>
      <c r="Q194" s="467"/>
      <c r="R194" s="467"/>
      <c r="S194" s="467"/>
      <c r="T194" s="467"/>
      <c r="U194" s="467"/>
      <c r="V194" s="467"/>
      <c r="AC194" s="467"/>
      <c r="AG194" s="467"/>
      <c r="AH194" s="467"/>
      <c r="AZ194" s="467"/>
      <c r="BA194" s="467"/>
      <c r="BB194" s="467"/>
      <c r="BC194" s="467"/>
    </row>
    <row r="195" spans="12:55" x14ac:dyDescent="0.2">
      <c r="L195" s="467"/>
      <c r="M195" s="467"/>
      <c r="N195" s="467"/>
      <c r="O195" s="467"/>
      <c r="P195" s="467"/>
      <c r="Q195" s="467"/>
      <c r="R195" s="467"/>
      <c r="S195" s="467"/>
      <c r="T195" s="467"/>
      <c r="U195" s="467"/>
      <c r="V195" s="467"/>
      <c r="AC195" s="467"/>
      <c r="AG195" s="467"/>
      <c r="AH195" s="467"/>
      <c r="AZ195" s="467"/>
      <c r="BA195" s="467"/>
      <c r="BB195" s="467"/>
      <c r="BC195" s="467"/>
    </row>
    <row r="196" spans="12:55" x14ac:dyDescent="0.2">
      <c r="L196" s="467"/>
      <c r="M196" s="467"/>
      <c r="N196" s="467"/>
      <c r="O196" s="467"/>
      <c r="P196" s="467"/>
      <c r="Q196" s="467"/>
      <c r="R196" s="467"/>
      <c r="S196" s="467"/>
      <c r="T196" s="467"/>
      <c r="U196" s="467"/>
      <c r="V196" s="467"/>
      <c r="AC196" s="467"/>
      <c r="AG196" s="467"/>
      <c r="AH196" s="467"/>
      <c r="AZ196" s="467"/>
      <c r="BA196" s="467"/>
      <c r="BB196" s="467"/>
      <c r="BC196" s="467"/>
    </row>
    <row r="197" spans="12:55" x14ac:dyDescent="0.2">
      <c r="L197" s="467"/>
      <c r="M197" s="467"/>
      <c r="N197" s="467"/>
      <c r="O197" s="467"/>
      <c r="P197" s="467"/>
      <c r="Q197" s="467"/>
      <c r="R197" s="467"/>
      <c r="S197" s="467"/>
      <c r="T197" s="467"/>
      <c r="U197" s="467"/>
      <c r="V197" s="467"/>
      <c r="AC197" s="467"/>
      <c r="AG197" s="467"/>
      <c r="AH197" s="467"/>
      <c r="AZ197" s="467"/>
      <c r="BA197" s="467"/>
      <c r="BB197" s="467"/>
      <c r="BC197" s="467"/>
    </row>
    <row r="198" spans="12:55" x14ac:dyDescent="0.2">
      <c r="L198" s="467"/>
      <c r="M198" s="467"/>
      <c r="N198" s="467"/>
      <c r="O198" s="467"/>
      <c r="P198" s="467"/>
      <c r="Q198" s="467"/>
      <c r="R198" s="467"/>
      <c r="S198" s="467"/>
      <c r="T198" s="467"/>
      <c r="U198" s="467"/>
      <c r="V198" s="467"/>
      <c r="AC198" s="467"/>
      <c r="AG198" s="467"/>
      <c r="AH198" s="467"/>
      <c r="AZ198" s="467"/>
      <c r="BA198" s="467"/>
      <c r="BB198" s="467"/>
      <c r="BC198" s="467"/>
    </row>
    <row r="199" spans="12:55" x14ac:dyDescent="0.2">
      <c r="L199" s="467"/>
      <c r="M199" s="467"/>
      <c r="N199" s="467"/>
      <c r="O199" s="467"/>
      <c r="P199" s="467"/>
      <c r="Q199" s="467"/>
      <c r="R199" s="467"/>
      <c r="S199" s="467"/>
      <c r="T199" s="467"/>
      <c r="U199" s="467"/>
      <c r="V199" s="467"/>
      <c r="AC199" s="467"/>
      <c r="AG199" s="467"/>
      <c r="AH199" s="467"/>
      <c r="AZ199" s="467"/>
      <c r="BA199" s="467"/>
      <c r="BB199" s="467"/>
      <c r="BC199" s="467"/>
    </row>
    <row r="200" spans="12:55" x14ac:dyDescent="0.2">
      <c r="L200" s="467"/>
      <c r="M200" s="467"/>
      <c r="N200" s="467"/>
      <c r="O200" s="467"/>
      <c r="P200" s="467"/>
      <c r="Q200" s="467"/>
      <c r="R200" s="467"/>
      <c r="S200" s="467"/>
      <c r="T200" s="467"/>
      <c r="U200" s="467"/>
      <c r="V200" s="467"/>
      <c r="AC200" s="467"/>
      <c r="AG200" s="467"/>
      <c r="AH200" s="467"/>
      <c r="AZ200" s="467"/>
      <c r="BA200" s="467"/>
      <c r="BB200" s="467"/>
      <c r="BC200" s="467"/>
    </row>
    <row r="201" spans="12:55" x14ac:dyDescent="0.2">
      <c r="L201" s="467"/>
      <c r="M201" s="467"/>
      <c r="N201" s="467"/>
      <c r="O201" s="467"/>
      <c r="P201" s="467"/>
      <c r="Q201" s="467"/>
      <c r="R201" s="467"/>
      <c r="S201" s="467"/>
      <c r="T201" s="467"/>
      <c r="U201" s="467"/>
      <c r="V201" s="467"/>
      <c r="AC201" s="467"/>
      <c r="AG201" s="467"/>
      <c r="AH201" s="467"/>
      <c r="AZ201" s="467"/>
      <c r="BA201" s="467"/>
      <c r="BB201" s="467"/>
      <c r="BC201" s="467"/>
    </row>
    <row r="202" spans="12:55" x14ac:dyDescent="0.2">
      <c r="L202" s="467"/>
      <c r="M202" s="467"/>
      <c r="N202" s="467"/>
      <c r="O202" s="467"/>
      <c r="P202" s="467"/>
      <c r="Q202" s="467"/>
      <c r="R202" s="467"/>
      <c r="S202" s="467"/>
      <c r="T202" s="467"/>
      <c r="U202" s="467"/>
      <c r="V202" s="467"/>
      <c r="AC202" s="467"/>
      <c r="AG202" s="467"/>
      <c r="AH202" s="467"/>
      <c r="AZ202" s="467"/>
      <c r="BA202" s="467"/>
      <c r="BB202" s="467"/>
      <c r="BC202" s="467"/>
    </row>
    <row r="203" spans="12:55" x14ac:dyDescent="0.2">
      <c r="L203" s="467"/>
      <c r="M203" s="467"/>
      <c r="N203" s="467"/>
      <c r="O203" s="467"/>
      <c r="P203" s="467"/>
      <c r="Q203" s="467"/>
      <c r="R203" s="467"/>
      <c r="S203" s="467"/>
      <c r="T203" s="467"/>
      <c r="U203" s="467"/>
      <c r="V203" s="467"/>
      <c r="AC203" s="467"/>
      <c r="AG203" s="467"/>
      <c r="AH203" s="467"/>
      <c r="AZ203" s="467"/>
      <c r="BA203" s="467"/>
      <c r="BB203" s="467"/>
      <c r="BC203" s="467"/>
    </row>
    <row r="204" spans="12:55" x14ac:dyDescent="0.2">
      <c r="L204" s="467"/>
      <c r="M204" s="467"/>
      <c r="N204" s="467"/>
      <c r="O204" s="467"/>
      <c r="P204" s="467"/>
      <c r="Q204" s="467"/>
      <c r="R204" s="467"/>
      <c r="S204" s="467"/>
      <c r="T204" s="467"/>
      <c r="U204" s="467"/>
      <c r="V204" s="467"/>
      <c r="AC204" s="467"/>
      <c r="AG204" s="467"/>
      <c r="AH204" s="467"/>
      <c r="AZ204" s="467"/>
      <c r="BA204" s="467"/>
      <c r="BB204" s="467"/>
      <c r="BC204" s="467"/>
    </row>
    <row r="205" spans="12:55" x14ac:dyDescent="0.2">
      <c r="L205" s="467"/>
      <c r="M205" s="467"/>
      <c r="N205" s="467"/>
      <c r="O205" s="467"/>
      <c r="P205" s="467"/>
      <c r="Q205" s="467"/>
      <c r="R205" s="467"/>
      <c r="S205" s="467"/>
      <c r="T205" s="467"/>
      <c r="U205" s="467"/>
      <c r="V205" s="467"/>
      <c r="AC205" s="467"/>
      <c r="AG205" s="467"/>
      <c r="AH205" s="467"/>
      <c r="AZ205" s="467"/>
      <c r="BA205" s="467"/>
      <c r="BB205" s="467"/>
      <c r="BC205" s="467"/>
    </row>
    <row r="206" spans="12:55" x14ac:dyDescent="0.2">
      <c r="L206" s="467"/>
      <c r="M206" s="467"/>
      <c r="N206" s="467"/>
      <c r="O206" s="467"/>
      <c r="P206" s="467"/>
      <c r="Q206" s="467"/>
      <c r="R206" s="467"/>
      <c r="S206" s="467"/>
      <c r="T206" s="467"/>
      <c r="U206" s="467"/>
      <c r="V206" s="467"/>
      <c r="AC206" s="467"/>
      <c r="AG206" s="467"/>
      <c r="AH206" s="467"/>
      <c r="AZ206" s="467"/>
      <c r="BA206" s="467"/>
      <c r="BB206" s="467"/>
      <c r="BC206" s="467"/>
    </row>
    <row r="207" spans="12:55" x14ac:dyDescent="0.2">
      <c r="L207" s="467"/>
      <c r="M207" s="467"/>
      <c r="N207" s="467"/>
      <c r="O207" s="467"/>
      <c r="P207" s="467"/>
      <c r="Q207" s="467"/>
      <c r="R207" s="467"/>
      <c r="S207" s="467"/>
      <c r="T207" s="467"/>
      <c r="U207" s="467"/>
      <c r="V207" s="467"/>
      <c r="AC207" s="467"/>
      <c r="AG207" s="467"/>
      <c r="AH207" s="467"/>
      <c r="AZ207" s="467"/>
      <c r="BA207" s="467"/>
      <c r="BB207" s="467"/>
      <c r="BC207" s="467"/>
    </row>
    <row r="208" spans="12:55" x14ac:dyDescent="0.2">
      <c r="L208" s="467"/>
      <c r="M208" s="467"/>
      <c r="N208" s="467"/>
      <c r="O208" s="467"/>
      <c r="P208" s="467"/>
      <c r="Q208" s="467"/>
      <c r="R208" s="467"/>
      <c r="S208" s="467"/>
      <c r="T208" s="467"/>
      <c r="U208" s="467"/>
      <c r="V208" s="467"/>
      <c r="AC208" s="467"/>
      <c r="AG208" s="467"/>
      <c r="AH208" s="467"/>
      <c r="AZ208" s="467"/>
      <c r="BA208" s="467"/>
      <c r="BB208" s="467"/>
      <c r="BC208" s="467"/>
    </row>
    <row r="209" spans="12:55" x14ac:dyDescent="0.2">
      <c r="L209" s="467"/>
      <c r="M209" s="467"/>
      <c r="N209" s="467"/>
      <c r="O209" s="467"/>
      <c r="P209" s="467"/>
      <c r="Q209" s="467"/>
      <c r="R209" s="467"/>
      <c r="S209" s="467"/>
      <c r="T209" s="467"/>
      <c r="U209" s="467"/>
      <c r="V209" s="467"/>
      <c r="AC209" s="467"/>
      <c r="AG209" s="467"/>
      <c r="AH209" s="467"/>
      <c r="AZ209" s="467"/>
      <c r="BA209" s="467"/>
      <c r="BB209" s="467"/>
      <c r="BC209" s="467"/>
    </row>
    <row r="210" spans="12:55" x14ac:dyDescent="0.2">
      <c r="L210" s="467"/>
      <c r="M210" s="467"/>
      <c r="N210" s="467"/>
      <c r="O210" s="467"/>
      <c r="P210" s="467"/>
      <c r="Q210" s="467"/>
      <c r="R210" s="467"/>
      <c r="S210" s="467"/>
      <c r="T210" s="467"/>
      <c r="U210" s="467"/>
      <c r="V210" s="467"/>
      <c r="AC210" s="467"/>
      <c r="AG210" s="467"/>
      <c r="AH210" s="467"/>
      <c r="AZ210" s="467"/>
      <c r="BA210" s="467"/>
      <c r="BB210" s="467"/>
      <c r="BC210" s="467"/>
    </row>
    <row r="211" spans="12:55" x14ac:dyDescent="0.2">
      <c r="L211" s="467"/>
      <c r="M211" s="467"/>
      <c r="N211" s="467"/>
      <c r="O211" s="467"/>
      <c r="P211" s="467"/>
      <c r="Q211" s="467"/>
      <c r="R211" s="467"/>
      <c r="S211" s="467"/>
      <c r="T211" s="467"/>
      <c r="U211" s="467"/>
      <c r="V211" s="467"/>
      <c r="AC211" s="467"/>
      <c r="AG211" s="467"/>
      <c r="AH211" s="467"/>
      <c r="AZ211" s="467"/>
      <c r="BA211" s="467"/>
      <c r="BB211" s="467"/>
      <c r="BC211" s="467"/>
    </row>
    <row r="212" spans="12:55" x14ac:dyDescent="0.2">
      <c r="L212" s="467"/>
      <c r="M212" s="467"/>
      <c r="N212" s="467"/>
      <c r="O212" s="467"/>
      <c r="P212" s="467"/>
      <c r="Q212" s="467"/>
      <c r="R212" s="467"/>
      <c r="S212" s="467"/>
      <c r="T212" s="467"/>
      <c r="U212" s="467"/>
      <c r="V212" s="467"/>
      <c r="AC212" s="467"/>
      <c r="AG212" s="467"/>
      <c r="AH212" s="467"/>
      <c r="AZ212" s="467"/>
      <c r="BA212" s="467"/>
      <c r="BB212" s="467"/>
      <c r="BC212" s="467"/>
    </row>
    <row r="213" spans="12:55" x14ac:dyDescent="0.2">
      <c r="L213" s="467"/>
      <c r="M213" s="467"/>
      <c r="N213" s="467"/>
      <c r="O213" s="467"/>
      <c r="P213" s="467"/>
      <c r="Q213" s="467"/>
      <c r="R213" s="467"/>
      <c r="S213" s="467"/>
      <c r="T213" s="467"/>
      <c r="U213" s="467"/>
      <c r="V213" s="467"/>
      <c r="AC213" s="467"/>
      <c r="AG213" s="467"/>
      <c r="AH213" s="467"/>
      <c r="AZ213" s="467"/>
      <c r="BA213" s="467"/>
      <c r="BB213" s="467"/>
      <c r="BC213" s="467"/>
    </row>
    <row r="214" spans="12:55" x14ac:dyDescent="0.2">
      <c r="L214" s="467"/>
      <c r="M214" s="467"/>
      <c r="N214" s="467"/>
      <c r="O214" s="467"/>
      <c r="P214" s="467"/>
      <c r="Q214" s="467"/>
      <c r="R214" s="467"/>
      <c r="S214" s="467"/>
      <c r="T214" s="467"/>
      <c r="U214" s="467"/>
      <c r="V214" s="467"/>
      <c r="AC214" s="467"/>
      <c r="AG214" s="467"/>
      <c r="AH214" s="467"/>
      <c r="AZ214" s="467"/>
      <c r="BA214" s="467"/>
      <c r="BB214" s="467"/>
      <c r="BC214" s="467"/>
    </row>
    <row r="215" spans="12:55" x14ac:dyDescent="0.2">
      <c r="L215" s="467"/>
      <c r="M215" s="467"/>
      <c r="N215" s="467"/>
      <c r="O215" s="467"/>
      <c r="P215" s="467"/>
      <c r="Q215" s="467"/>
      <c r="R215" s="467"/>
      <c r="S215" s="467"/>
      <c r="T215" s="467"/>
      <c r="U215" s="467"/>
      <c r="V215" s="467"/>
      <c r="AC215" s="467"/>
      <c r="AG215" s="467"/>
      <c r="AH215" s="467"/>
      <c r="AZ215" s="467"/>
      <c r="BA215" s="467"/>
      <c r="BB215" s="467"/>
      <c r="BC215" s="467"/>
    </row>
    <row r="216" spans="12:55" x14ac:dyDescent="0.2">
      <c r="L216" s="467"/>
      <c r="M216" s="467"/>
      <c r="N216" s="467"/>
      <c r="O216" s="467"/>
      <c r="P216" s="467"/>
      <c r="Q216" s="467"/>
      <c r="R216" s="467"/>
      <c r="S216" s="467"/>
      <c r="T216" s="467"/>
      <c r="U216" s="467"/>
      <c r="V216" s="467"/>
      <c r="AC216" s="467"/>
      <c r="AG216" s="467"/>
      <c r="AH216" s="467"/>
      <c r="AZ216" s="467"/>
      <c r="BA216" s="467"/>
      <c r="BB216" s="467"/>
      <c r="BC216" s="467"/>
    </row>
    <row r="217" spans="12:55" x14ac:dyDescent="0.2">
      <c r="L217" s="467"/>
      <c r="M217" s="467"/>
      <c r="N217" s="467"/>
      <c r="O217" s="467"/>
      <c r="P217" s="467"/>
      <c r="Q217" s="467"/>
      <c r="R217" s="467"/>
      <c r="S217" s="467"/>
      <c r="T217" s="467"/>
      <c r="U217" s="467"/>
      <c r="V217" s="467"/>
      <c r="AC217" s="467"/>
      <c r="AG217" s="467"/>
      <c r="AH217" s="467"/>
      <c r="AZ217" s="467"/>
      <c r="BA217" s="467"/>
      <c r="BB217" s="467"/>
      <c r="BC217" s="467"/>
    </row>
    <row r="218" spans="12:55" x14ac:dyDescent="0.2">
      <c r="L218" s="467"/>
      <c r="M218" s="467"/>
      <c r="N218" s="467"/>
      <c r="O218" s="467"/>
      <c r="P218" s="467"/>
      <c r="Q218" s="467"/>
      <c r="R218" s="467"/>
      <c r="S218" s="467"/>
      <c r="T218" s="467"/>
      <c r="U218" s="467"/>
      <c r="V218" s="467"/>
      <c r="AC218" s="467"/>
      <c r="AG218" s="467"/>
      <c r="AH218" s="467"/>
      <c r="AZ218" s="467"/>
      <c r="BA218" s="467"/>
      <c r="BB218" s="467"/>
      <c r="BC218" s="467"/>
    </row>
    <row r="219" spans="12:55" x14ac:dyDescent="0.2">
      <c r="L219" s="467"/>
      <c r="M219" s="467"/>
      <c r="N219" s="467"/>
      <c r="O219" s="467"/>
      <c r="P219" s="467"/>
      <c r="Q219" s="467"/>
      <c r="R219" s="467"/>
      <c r="S219" s="467"/>
      <c r="T219" s="467"/>
      <c r="U219" s="467"/>
      <c r="V219" s="467"/>
      <c r="AC219" s="467"/>
      <c r="AG219" s="467"/>
      <c r="AH219" s="467"/>
      <c r="AZ219" s="467"/>
      <c r="BA219" s="467"/>
      <c r="BB219" s="467"/>
      <c r="BC219" s="467"/>
    </row>
    <row r="220" spans="12:55" x14ac:dyDescent="0.2">
      <c r="L220" s="467"/>
      <c r="M220" s="467"/>
      <c r="N220" s="467"/>
      <c r="O220" s="467"/>
      <c r="P220" s="467"/>
      <c r="Q220" s="467"/>
      <c r="R220" s="467"/>
      <c r="S220" s="467"/>
      <c r="T220" s="467"/>
      <c r="U220" s="467"/>
      <c r="V220" s="467"/>
      <c r="AC220" s="467"/>
      <c r="AG220" s="467"/>
      <c r="AH220" s="467"/>
      <c r="AZ220" s="467"/>
      <c r="BA220" s="467"/>
      <c r="BB220" s="467"/>
      <c r="BC220" s="467"/>
    </row>
    <row r="221" spans="12:55" x14ac:dyDescent="0.2">
      <c r="L221" s="467"/>
      <c r="M221" s="467"/>
      <c r="N221" s="467"/>
      <c r="O221" s="467"/>
      <c r="P221" s="467"/>
      <c r="Q221" s="467"/>
      <c r="R221" s="467"/>
      <c r="S221" s="467"/>
      <c r="T221" s="467"/>
      <c r="U221" s="467"/>
      <c r="V221" s="467"/>
      <c r="AC221" s="467"/>
      <c r="AG221" s="467"/>
      <c r="AH221" s="467"/>
      <c r="AZ221" s="467"/>
      <c r="BA221" s="467"/>
      <c r="BB221" s="467"/>
      <c r="BC221" s="467"/>
    </row>
    <row r="222" spans="12:55" x14ac:dyDescent="0.2">
      <c r="L222" s="467"/>
      <c r="M222" s="467"/>
      <c r="N222" s="467"/>
      <c r="O222" s="467"/>
      <c r="P222" s="467"/>
      <c r="Q222" s="467"/>
      <c r="R222" s="467"/>
      <c r="S222" s="467"/>
      <c r="T222" s="467"/>
      <c r="U222" s="467"/>
      <c r="V222" s="467"/>
      <c r="AC222" s="467"/>
      <c r="AG222" s="467"/>
      <c r="AH222" s="467"/>
      <c r="AZ222" s="467"/>
      <c r="BA222" s="467"/>
      <c r="BB222" s="467"/>
      <c r="BC222" s="467"/>
    </row>
    <row r="223" spans="12:55" x14ac:dyDescent="0.2">
      <c r="L223" s="467"/>
      <c r="M223" s="467"/>
      <c r="N223" s="467"/>
      <c r="O223" s="467"/>
      <c r="P223" s="467"/>
      <c r="Q223" s="467"/>
      <c r="R223" s="467"/>
      <c r="S223" s="467"/>
      <c r="T223" s="467"/>
      <c r="U223" s="467"/>
      <c r="V223" s="467"/>
      <c r="AC223" s="467"/>
      <c r="AG223" s="467"/>
      <c r="AH223" s="467"/>
      <c r="AZ223" s="467"/>
      <c r="BA223" s="467"/>
      <c r="BB223" s="467"/>
      <c r="BC223" s="467"/>
    </row>
    <row r="224" spans="12:55" x14ac:dyDescent="0.2">
      <c r="L224" s="467"/>
      <c r="M224" s="467"/>
      <c r="N224" s="467"/>
      <c r="O224" s="467"/>
      <c r="P224" s="467"/>
      <c r="Q224" s="467"/>
      <c r="R224" s="467"/>
      <c r="S224" s="467"/>
      <c r="T224" s="467"/>
      <c r="U224" s="467"/>
      <c r="V224" s="467"/>
      <c r="AC224" s="467"/>
      <c r="AG224" s="467"/>
      <c r="AH224" s="467"/>
      <c r="AZ224" s="467"/>
      <c r="BA224" s="467"/>
      <c r="BB224" s="467"/>
      <c r="BC224" s="467"/>
    </row>
    <row r="225" spans="12:55" x14ac:dyDescent="0.2">
      <c r="L225" s="467"/>
      <c r="M225" s="467"/>
      <c r="N225" s="467"/>
      <c r="O225" s="467"/>
      <c r="P225" s="467"/>
      <c r="Q225" s="467"/>
      <c r="R225" s="467"/>
      <c r="S225" s="467"/>
      <c r="T225" s="467"/>
      <c r="U225" s="467"/>
      <c r="V225" s="467"/>
      <c r="AC225" s="467"/>
      <c r="AG225" s="467"/>
      <c r="AH225" s="467"/>
      <c r="AZ225" s="467"/>
      <c r="BA225" s="467"/>
      <c r="BB225" s="467"/>
      <c r="BC225" s="467"/>
    </row>
    <row r="226" spans="12:55" x14ac:dyDescent="0.2">
      <c r="L226" s="467"/>
      <c r="M226" s="467"/>
      <c r="N226" s="467"/>
      <c r="O226" s="467"/>
      <c r="P226" s="467"/>
      <c r="Q226" s="467"/>
      <c r="R226" s="467"/>
      <c r="S226" s="467"/>
      <c r="T226" s="467"/>
      <c r="U226" s="467"/>
      <c r="V226" s="467"/>
      <c r="AC226" s="467"/>
      <c r="AG226" s="467"/>
      <c r="AH226" s="467"/>
      <c r="AZ226" s="467"/>
      <c r="BA226" s="467"/>
      <c r="BB226" s="467"/>
      <c r="BC226" s="467"/>
    </row>
    <row r="227" spans="12:55" x14ac:dyDescent="0.2">
      <c r="L227" s="467"/>
      <c r="M227" s="467"/>
      <c r="N227" s="467"/>
      <c r="O227" s="467"/>
      <c r="P227" s="467"/>
      <c r="Q227" s="467"/>
      <c r="R227" s="467"/>
      <c r="S227" s="467"/>
      <c r="T227" s="467"/>
      <c r="U227" s="467"/>
      <c r="V227" s="467"/>
      <c r="AC227" s="467"/>
      <c r="AG227" s="467"/>
      <c r="AH227" s="467"/>
      <c r="AZ227" s="467"/>
      <c r="BA227" s="467"/>
      <c r="BB227" s="467"/>
      <c r="BC227" s="467"/>
    </row>
    <row r="228" spans="12:55" x14ac:dyDescent="0.2">
      <c r="L228" s="467"/>
      <c r="M228" s="467"/>
      <c r="N228" s="467"/>
      <c r="O228" s="467"/>
      <c r="P228" s="467"/>
      <c r="Q228" s="467"/>
      <c r="R228" s="467"/>
      <c r="S228" s="467"/>
      <c r="T228" s="467"/>
      <c r="U228" s="467"/>
      <c r="V228" s="467"/>
      <c r="AC228" s="467"/>
      <c r="AG228" s="467"/>
      <c r="AH228" s="467"/>
      <c r="AZ228" s="467"/>
      <c r="BA228" s="467"/>
      <c r="BB228" s="467"/>
      <c r="BC228" s="467"/>
    </row>
    <row r="229" spans="12:55" x14ac:dyDescent="0.2">
      <c r="L229" s="467"/>
      <c r="M229" s="467"/>
      <c r="N229" s="467"/>
      <c r="O229" s="467"/>
      <c r="P229" s="467"/>
      <c r="Q229" s="467"/>
      <c r="R229" s="467"/>
      <c r="S229" s="467"/>
      <c r="T229" s="467"/>
      <c r="U229" s="467"/>
      <c r="V229" s="467"/>
      <c r="AC229" s="467"/>
      <c r="AG229" s="467"/>
      <c r="AH229" s="467"/>
      <c r="AZ229" s="467"/>
      <c r="BA229" s="467"/>
      <c r="BB229" s="467"/>
      <c r="BC229" s="467"/>
    </row>
    <row r="230" spans="12:55" x14ac:dyDescent="0.2">
      <c r="L230" s="467"/>
      <c r="M230" s="467"/>
      <c r="N230" s="467"/>
      <c r="O230" s="467"/>
      <c r="P230" s="467"/>
      <c r="Q230" s="467"/>
      <c r="R230" s="467"/>
      <c r="S230" s="467"/>
      <c r="T230" s="467"/>
      <c r="U230" s="467"/>
      <c r="V230" s="467"/>
      <c r="AC230" s="467"/>
      <c r="AG230" s="467"/>
      <c r="AH230" s="467"/>
      <c r="AZ230" s="467"/>
      <c r="BA230" s="467"/>
      <c r="BB230" s="467"/>
      <c r="BC230" s="467"/>
    </row>
    <row r="231" spans="12:55" x14ac:dyDescent="0.2">
      <c r="L231" s="467"/>
      <c r="M231" s="467"/>
      <c r="N231" s="467"/>
      <c r="O231" s="467"/>
      <c r="P231" s="467"/>
      <c r="Q231" s="467"/>
      <c r="R231" s="467"/>
      <c r="S231" s="467"/>
      <c r="T231" s="467"/>
      <c r="U231" s="467"/>
      <c r="V231" s="467"/>
      <c r="AC231" s="467"/>
      <c r="AG231" s="467"/>
      <c r="AH231" s="467"/>
      <c r="AZ231" s="467"/>
      <c r="BA231" s="467"/>
      <c r="BB231" s="467"/>
      <c r="BC231" s="467"/>
    </row>
    <row r="232" spans="12:55" x14ac:dyDescent="0.2">
      <c r="L232" s="467"/>
      <c r="M232" s="467"/>
      <c r="N232" s="467"/>
      <c r="O232" s="467"/>
      <c r="P232" s="467"/>
      <c r="Q232" s="467"/>
      <c r="R232" s="467"/>
      <c r="S232" s="467"/>
      <c r="T232" s="467"/>
      <c r="U232" s="467"/>
      <c r="V232" s="467"/>
      <c r="AC232" s="467"/>
      <c r="AG232" s="467"/>
      <c r="AH232" s="467"/>
      <c r="AZ232" s="467"/>
      <c r="BA232" s="467"/>
      <c r="BB232" s="467"/>
      <c r="BC232" s="467"/>
    </row>
    <row r="233" spans="12:55" x14ac:dyDescent="0.2">
      <c r="L233" s="467"/>
      <c r="M233" s="467"/>
      <c r="N233" s="467"/>
      <c r="O233" s="467"/>
      <c r="P233" s="467"/>
      <c r="Q233" s="467"/>
      <c r="R233" s="467"/>
      <c r="S233" s="467"/>
      <c r="T233" s="467"/>
      <c r="U233" s="467"/>
      <c r="V233" s="467"/>
      <c r="AC233" s="467"/>
      <c r="AG233" s="467"/>
      <c r="AH233" s="467"/>
      <c r="AZ233" s="467"/>
      <c r="BA233" s="467"/>
      <c r="BB233" s="467"/>
      <c r="BC233" s="467"/>
    </row>
    <row r="234" spans="12:55" x14ac:dyDescent="0.2">
      <c r="L234" s="467"/>
      <c r="M234" s="467"/>
      <c r="N234" s="467"/>
      <c r="O234" s="467"/>
      <c r="P234" s="467"/>
      <c r="Q234" s="467"/>
      <c r="R234" s="467"/>
      <c r="S234" s="467"/>
      <c r="T234" s="467"/>
      <c r="U234" s="467"/>
      <c r="V234" s="467"/>
      <c r="AC234" s="467"/>
      <c r="AG234" s="467"/>
      <c r="AH234" s="467"/>
      <c r="AZ234" s="467"/>
      <c r="BA234" s="467"/>
      <c r="BB234" s="467"/>
      <c r="BC234" s="467"/>
    </row>
    <row r="235" spans="12:55" x14ac:dyDescent="0.2">
      <c r="L235" s="467"/>
      <c r="M235" s="467"/>
      <c r="N235" s="467"/>
      <c r="O235" s="467"/>
      <c r="P235" s="467"/>
      <c r="Q235" s="467"/>
      <c r="R235" s="467"/>
      <c r="S235" s="467"/>
      <c r="T235" s="467"/>
      <c r="U235" s="467"/>
      <c r="V235" s="467"/>
      <c r="AC235" s="467"/>
      <c r="AG235" s="467"/>
      <c r="AH235" s="467"/>
      <c r="AZ235" s="467"/>
      <c r="BA235" s="467"/>
      <c r="BB235" s="467"/>
      <c r="BC235" s="467"/>
    </row>
    <row r="236" spans="12:55" x14ac:dyDescent="0.2">
      <c r="L236" s="467"/>
      <c r="M236" s="467"/>
      <c r="N236" s="467"/>
      <c r="O236" s="467"/>
      <c r="P236" s="467"/>
      <c r="Q236" s="467"/>
      <c r="R236" s="467"/>
      <c r="S236" s="467"/>
      <c r="T236" s="467"/>
      <c r="U236" s="467"/>
      <c r="V236" s="467"/>
      <c r="AC236" s="467"/>
      <c r="AG236" s="467"/>
      <c r="AH236" s="467"/>
      <c r="AZ236" s="467"/>
      <c r="BA236" s="467"/>
      <c r="BB236" s="467"/>
      <c r="BC236" s="467"/>
    </row>
    <row r="237" spans="12:55" x14ac:dyDescent="0.2">
      <c r="L237" s="467"/>
      <c r="M237" s="467"/>
      <c r="N237" s="467"/>
      <c r="O237" s="467"/>
      <c r="P237" s="467"/>
      <c r="Q237" s="467"/>
      <c r="R237" s="467"/>
      <c r="S237" s="467"/>
      <c r="T237" s="467"/>
      <c r="U237" s="467"/>
      <c r="V237" s="467"/>
      <c r="AC237" s="467"/>
      <c r="AG237" s="467"/>
      <c r="AH237" s="467"/>
      <c r="AZ237" s="467"/>
      <c r="BA237" s="467"/>
      <c r="BB237" s="467"/>
      <c r="BC237" s="467"/>
    </row>
    <row r="238" spans="12:55" x14ac:dyDescent="0.2">
      <c r="L238" s="467"/>
      <c r="M238" s="467"/>
      <c r="N238" s="467"/>
      <c r="O238" s="467"/>
      <c r="P238" s="467"/>
      <c r="Q238" s="467"/>
      <c r="R238" s="467"/>
      <c r="S238" s="467"/>
      <c r="T238" s="467"/>
      <c r="U238" s="467"/>
      <c r="V238" s="467"/>
      <c r="AC238" s="467"/>
      <c r="AG238" s="467"/>
      <c r="AH238" s="467"/>
      <c r="AZ238" s="467"/>
      <c r="BA238" s="467"/>
      <c r="BB238" s="467"/>
      <c r="BC238" s="467"/>
    </row>
    <row r="239" spans="12:55" x14ac:dyDescent="0.2">
      <c r="L239" s="467"/>
      <c r="M239" s="467"/>
      <c r="N239" s="467"/>
      <c r="O239" s="467"/>
      <c r="P239" s="467"/>
      <c r="Q239" s="467"/>
      <c r="R239" s="467"/>
      <c r="S239" s="467"/>
      <c r="T239" s="467"/>
      <c r="U239" s="467"/>
      <c r="V239" s="467"/>
      <c r="AC239" s="467"/>
      <c r="AG239" s="467"/>
      <c r="AH239" s="467"/>
      <c r="AZ239" s="467"/>
      <c r="BA239" s="467"/>
      <c r="BB239" s="467"/>
      <c r="BC239" s="467"/>
    </row>
    <row r="240" spans="12:55" x14ac:dyDescent="0.2">
      <c r="L240" s="467"/>
      <c r="M240" s="467"/>
      <c r="N240" s="467"/>
      <c r="O240" s="467"/>
      <c r="P240" s="467"/>
      <c r="Q240" s="467"/>
      <c r="R240" s="467"/>
      <c r="S240" s="467"/>
      <c r="T240" s="467"/>
      <c r="U240" s="467"/>
      <c r="V240" s="467"/>
      <c r="AC240" s="467"/>
      <c r="AG240" s="467"/>
      <c r="AH240" s="467"/>
      <c r="AZ240" s="467"/>
      <c r="BA240" s="467"/>
      <c r="BB240" s="467"/>
      <c r="BC240" s="467"/>
    </row>
    <row r="241" spans="12:55" x14ac:dyDescent="0.2">
      <c r="L241" s="467"/>
      <c r="M241" s="467"/>
      <c r="N241" s="467"/>
      <c r="O241" s="467"/>
      <c r="P241" s="467"/>
      <c r="Q241" s="467"/>
      <c r="R241" s="467"/>
      <c r="S241" s="467"/>
      <c r="T241" s="467"/>
      <c r="U241" s="467"/>
      <c r="V241" s="467"/>
      <c r="AC241" s="467"/>
      <c r="AG241" s="467"/>
      <c r="AH241" s="467"/>
      <c r="AZ241" s="467"/>
      <c r="BA241" s="467"/>
      <c r="BB241" s="467"/>
      <c r="BC241" s="467"/>
    </row>
    <row r="242" spans="12:55" x14ac:dyDescent="0.2">
      <c r="L242" s="467"/>
      <c r="M242" s="467"/>
      <c r="N242" s="467"/>
      <c r="O242" s="467"/>
      <c r="P242" s="467"/>
      <c r="Q242" s="467"/>
      <c r="R242" s="467"/>
      <c r="S242" s="467"/>
      <c r="T242" s="467"/>
      <c r="U242" s="467"/>
      <c r="V242" s="467"/>
      <c r="AC242" s="467"/>
      <c r="AG242" s="467"/>
      <c r="AH242" s="467"/>
      <c r="AZ242" s="467"/>
      <c r="BA242" s="467"/>
      <c r="BB242" s="467"/>
      <c r="BC242" s="467"/>
    </row>
    <row r="243" spans="12:55" x14ac:dyDescent="0.2">
      <c r="L243" s="467"/>
      <c r="M243" s="467"/>
      <c r="N243" s="467"/>
      <c r="O243" s="467"/>
      <c r="P243" s="467"/>
      <c r="Q243" s="467"/>
      <c r="R243" s="467"/>
      <c r="S243" s="467"/>
      <c r="T243" s="467"/>
      <c r="U243" s="467"/>
      <c r="V243" s="467"/>
      <c r="AC243" s="467"/>
      <c r="AG243" s="467"/>
      <c r="AH243" s="467"/>
      <c r="AZ243" s="467"/>
      <c r="BA243" s="467"/>
      <c r="BB243" s="467"/>
      <c r="BC243" s="467"/>
    </row>
    <row r="244" spans="12:55" x14ac:dyDescent="0.2">
      <c r="L244" s="467"/>
      <c r="M244" s="467"/>
      <c r="N244" s="467"/>
      <c r="O244" s="467"/>
      <c r="P244" s="467"/>
      <c r="Q244" s="467"/>
      <c r="R244" s="467"/>
      <c r="S244" s="467"/>
      <c r="T244" s="467"/>
      <c r="U244" s="467"/>
      <c r="V244" s="467"/>
      <c r="AC244" s="467"/>
      <c r="AG244" s="467"/>
      <c r="AH244" s="467"/>
      <c r="AZ244" s="467"/>
      <c r="BA244" s="467"/>
      <c r="BB244" s="467"/>
      <c r="BC244" s="467"/>
    </row>
    <row r="245" spans="12:55" x14ac:dyDescent="0.2">
      <c r="L245" s="467"/>
      <c r="M245" s="467"/>
      <c r="N245" s="467"/>
      <c r="O245" s="467"/>
      <c r="P245" s="467"/>
      <c r="Q245" s="467"/>
      <c r="R245" s="467"/>
      <c r="S245" s="467"/>
      <c r="T245" s="467"/>
      <c r="U245" s="467"/>
      <c r="V245" s="467"/>
      <c r="AC245" s="467"/>
      <c r="AG245" s="467"/>
      <c r="AH245" s="467"/>
      <c r="AZ245" s="467"/>
      <c r="BA245" s="467"/>
      <c r="BB245" s="467"/>
      <c r="BC245" s="467"/>
    </row>
    <row r="246" spans="12:55" x14ac:dyDescent="0.2">
      <c r="L246" s="467"/>
      <c r="M246" s="467"/>
      <c r="N246" s="467"/>
      <c r="O246" s="467"/>
      <c r="P246" s="467"/>
      <c r="Q246" s="467"/>
      <c r="R246" s="467"/>
      <c r="S246" s="467"/>
      <c r="T246" s="467"/>
      <c r="U246" s="467"/>
      <c r="V246" s="467"/>
      <c r="AC246" s="467"/>
      <c r="AG246" s="467"/>
      <c r="AH246" s="467"/>
      <c r="AZ246" s="467"/>
      <c r="BA246" s="467"/>
      <c r="BB246" s="467"/>
      <c r="BC246" s="467"/>
    </row>
    <row r="247" spans="12:55" x14ac:dyDescent="0.2">
      <c r="L247" s="467"/>
      <c r="M247" s="467"/>
      <c r="N247" s="467"/>
      <c r="O247" s="467"/>
      <c r="P247" s="467"/>
      <c r="Q247" s="467"/>
      <c r="R247" s="467"/>
      <c r="S247" s="467"/>
      <c r="T247" s="467"/>
      <c r="U247" s="467"/>
      <c r="V247" s="467"/>
      <c r="AC247" s="467"/>
      <c r="AG247" s="467"/>
      <c r="AH247" s="467"/>
      <c r="AZ247" s="467"/>
      <c r="BA247" s="467"/>
      <c r="BB247" s="467"/>
      <c r="BC247" s="467"/>
    </row>
    <row r="248" spans="12:55" x14ac:dyDescent="0.2">
      <c r="L248" s="467"/>
      <c r="M248" s="467"/>
      <c r="N248" s="467"/>
      <c r="O248" s="467"/>
      <c r="P248" s="467"/>
      <c r="Q248" s="467"/>
      <c r="R248" s="467"/>
      <c r="S248" s="467"/>
      <c r="T248" s="467"/>
      <c r="U248" s="467"/>
      <c r="V248" s="467"/>
      <c r="AC248" s="467"/>
      <c r="AG248" s="467"/>
      <c r="AH248" s="467"/>
      <c r="AZ248" s="467"/>
      <c r="BA248" s="467"/>
      <c r="BB248" s="467"/>
      <c r="BC248" s="467"/>
    </row>
    <row r="249" spans="12:55" x14ac:dyDescent="0.2">
      <c r="L249" s="467"/>
      <c r="M249" s="467"/>
      <c r="N249" s="467"/>
      <c r="O249" s="467"/>
      <c r="P249" s="467"/>
      <c r="Q249" s="467"/>
      <c r="R249" s="467"/>
      <c r="S249" s="467"/>
      <c r="T249" s="467"/>
      <c r="U249" s="467"/>
      <c r="V249" s="467"/>
      <c r="AC249" s="467"/>
      <c r="AG249" s="467"/>
      <c r="AH249" s="467"/>
      <c r="AZ249" s="467"/>
      <c r="BA249" s="467"/>
      <c r="BB249" s="467"/>
      <c r="BC249" s="467"/>
    </row>
    <row r="250" spans="12:55" x14ac:dyDescent="0.2">
      <c r="L250" s="467"/>
      <c r="M250" s="467"/>
      <c r="N250" s="467"/>
      <c r="O250" s="467"/>
      <c r="P250" s="467"/>
      <c r="Q250" s="467"/>
      <c r="R250" s="467"/>
      <c r="S250" s="467"/>
      <c r="T250" s="467"/>
      <c r="U250" s="467"/>
      <c r="V250" s="467"/>
      <c r="AC250" s="467"/>
      <c r="AG250" s="467"/>
      <c r="AH250" s="467"/>
      <c r="AZ250" s="467"/>
      <c r="BA250" s="467"/>
      <c r="BB250" s="467"/>
      <c r="BC250" s="467"/>
    </row>
    <row r="251" spans="12:55" x14ac:dyDescent="0.2">
      <c r="L251" s="467"/>
      <c r="M251" s="467"/>
      <c r="N251" s="467"/>
      <c r="O251" s="467"/>
      <c r="P251" s="467"/>
      <c r="Q251" s="467"/>
      <c r="R251" s="467"/>
      <c r="S251" s="467"/>
      <c r="T251" s="467"/>
      <c r="U251" s="467"/>
      <c r="V251" s="467"/>
      <c r="AC251" s="467"/>
      <c r="AG251" s="467"/>
      <c r="AH251" s="467"/>
      <c r="AZ251" s="467"/>
      <c r="BA251" s="467"/>
      <c r="BB251" s="467"/>
      <c r="BC251" s="467"/>
    </row>
    <row r="252" spans="12:55" x14ac:dyDescent="0.2">
      <c r="L252" s="467"/>
      <c r="M252" s="467"/>
      <c r="N252" s="467"/>
      <c r="O252" s="467"/>
      <c r="P252" s="467"/>
      <c r="Q252" s="467"/>
      <c r="R252" s="467"/>
      <c r="S252" s="467"/>
      <c r="T252" s="467"/>
      <c r="U252" s="467"/>
      <c r="V252" s="467"/>
      <c r="AC252" s="467"/>
      <c r="AG252" s="467"/>
      <c r="AH252" s="467"/>
      <c r="AZ252" s="467"/>
      <c r="BA252" s="467"/>
      <c r="BB252" s="467"/>
      <c r="BC252" s="467"/>
    </row>
    <row r="253" spans="12:55" x14ac:dyDescent="0.2">
      <c r="L253" s="467"/>
      <c r="M253" s="467"/>
      <c r="N253" s="467"/>
      <c r="O253" s="467"/>
      <c r="P253" s="467"/>
      <c r="Q253" s="467"/>
      <c r="R253" s="467"/>
      <c r="S253" s="467"/>
      <c r="T253" s="467"/>
      <c r="U253" s="467"/>
      <c r="V253" s="467"/>
      <c r="AC253" s="467"/>
      <c r="AG253" s="467"/>
      <c r="AH253" s="467"/>
      <c r="AZ253" s="467"/>
      <c r="BA253" s="467"/>
      <c r="BB253" s="467"/>
      <c r="BC253" s="467"/>
    </row>
    <row r="254" spans="12:55" x14ac:dyDescent="0.2">
      <c r="L254" s="467"/>
      <c r="M254" s="467"/>
      <c r="N254" s="467"/>
      <c r="O254" s="467"/>
      <c r="P254" s="467"/>
      <c r="Q254" s="467"/>
      <c r="R254" s="467"/>
      <c r="S254" s="467"/>
      <c r="T254" s="467"/>
      <c r="U254" s="467"/>
      <c r="V254" s="467"/>
      <c r="AC254" s="467"/>
      <c r="AG254" s="467"/>
      <c r="AH254" s="467"/>
      <c r="AZ254" s="467"/>
      <c r="BA254" s="467"/>
      <c r="BB254" s="467"/>
      <c r="BC254" s="467"/>
    </row>
    <row r="255" spans="12:55" x14ac:dyDescent="0.2">
      <c r="L255" s="467"/>
      <c r="M255" s="467"/>
      <c r="N255" s="467"/>
      <c r="O255" s="467"/>
      <c r="P255" s="467"/>
      <c r="Q255" s="467"/>
      <c r="R255" s="467"/>
      <c r="S255" s="467"/>
      <c r="T255" s="467"/>
      <c r="U255" s="467"/>
      <c r="V255" s="467"/>
      <c r="AC255" s="467"/>
      <c r="AG255" s="467"/>
      <c r="AH255" s="467"/>
      <c r="AZ255" s="467"/>
      <c r="BA255" s="467"/>
      <c r="BB255" s="467"/>
      <c r="BC255" s="467"/>
    </row>
    <row r="256" spans="12:55" x14ac:dyDescent="0.2">
      <c r="L256" s="467"/>
      <c r="M256" s="467"/>
      <c r="N256" s="467"/>
      <c r="O256" s="467"/>
      <c r="P256" s="467"/>
      <c r="Q256" s="467"/>
      <c r="R256" s="467"/>
      <c r="S256" s="467"/>
      <c r="T256" s="467"/>
      <c r="U256" s="467"/>
      <c r="V256" s="467"/>
      <c r="AC256" s="467"/>
      <c r="AG256" s="467"/>
      <c r="AH256" s="467"/>
      <c r="AZ256" s="467"/>
      <c r="BA256" s="467"/>
      <c r="BB256" s="467"/>
      <c r="BC256" s="467"/>
    </row>
    <row r="257" spans="12:55" x14ac:dyDescent="0.2">
      <c r="L257" s="467"/>
      <c r="M257" s="467"/>
      <c r="N257" s="467"/>
      <c r="O257" s="467"/>
      <c r="P257" s="467"/>
      <c r="Q257" s="467"/>
      <c r="R257" s="467"/>
      <c r="S257" s="467"/>
      <c r="T257" s="467"/>
      <c r="U257" s="467"/>
      <c r="V257" s="467"/>
      <c r="AC257" s="467"/>
      <c r="AG257" s="467"/>
      <c r="AH257" s="467"/>
      <c r="AZ257" s="467"/>
      <c r="BA257" s="467"/>
      <c r="BB257" s="467"/>
      <c r="BC257" s="467"/>
    </row>
    <row r="258" spans="12:55" x14ac:dyDescent="0.2">
      <c r="L258" s="467"/>
      <c r="M258" s="467"/>
      <c r="N258" s="467"/>
      <c r="O258" s="467"/>
      <c r="P258" s="467"/>
      <c r="Q258" s="467"/>
      <c r="R258" s="467"/>
      <c r="S258" s="467"/>
      <c r="T258" s="467"/>
      <c r="U258" s="467"/>
      <c r="V258" s="467"/>
      <c r="AC258" s="467"/>
      <c r="AG258" s="467"/>
      <c r="AH258" s="467"/>
      <c r="AZ258" s="467"/>
      <c r="BA258" s="467"/>
      <c r="BB258" s="467"/>
      <c r="BC258" s="467"/>
    </row>
    <row r="259" spans="12:55" x14ac:dyDescent="0.2">
      <c r="L259" s="467"/>
      <c r="M259" s="467"/>
      <c r="N259" s="467"/>
      <c r="O259" s="467"/>
      <c r="P259" s="467"/>
      <c r="Q259" s="467"/>
      <c r="R259" s="467"/>
      <c r="S259" s="467"/>
      <c r="T259" s="467"/>
      <c r="U259" s="467"/>
      <c r="V259" s="467"/>
      <c r="AC259" s="467"/>
      <c r="AG259" s="467"/>
      <c r="AH259" s="467"/>
      <c r="AZ259" s="467"/>
      <c r="BA259" s="467"/>
      <c r="BB259" s="467"/>
      <c r="BC259" s="467"/>
    </row>
    <row r="260" spans="12:55" x14ac:dyDescent="0.2">
      <c r="L260" s="467"/>
      <c r="M260" s="467"/>
      <c r="N260" s="467"/>
      <c r="O260" s="467"/>
      <c r="P260" s="467"/>
      <c r="Q260" s="467"/>
      <c r="R260" s="467"/>
      <c r="S260" s="467"/>
      <c r="T260" s="467"/>
      <c r="U260" s="467"/>
      <c r="V260" s="467"/>
      <c r="AC260" s="467"/>
      <c r="AG260" s="467"/>
      <c r="AH260" s="467"/>
      <c r="AZ260" s="467"/>
      <c r="BA260" s="467"/>
      <c r="BB260" s="467"/>
      <c r="BC260" s="467"/>
    </row>
    <row r="261" spans="12:55" x14ac:dyDescent="0.2">
      <c r="L261" s="467"/>
      <c r="M261" s="467"/>
      <c r="N261" s="467"/>
      <c r="O261" s="467"/>
      <c r="P261" s="467"/>
      <c r="Q261" s="467"/>
      <c r="R261" s="467"/>
      <c r="S261" s="467"/>
      <c r="T261" s="467"/>
      <c r="U261" s="467"/>
      <c r="V261" s="467"/>
      <c r="AC261" s="467"/>
      <c r="AG261" s="467"/>
      <c r="AH261" s="467"/>
      <c r="AZ261" s="467"/>
      <c r="BA261" s="467"/>
      <c r="BB261" s="467"/>
      <c r="BC261" s="467"/>
    </row>
    <row r="262" spans="12:55" x14ac:dyDescent="0.2">
      <c r="L262" s="467"/>
      <c r="M262" s="467"/>
      <c r="N262" s="467"/>
      <c r="O262" s="467"/>
      <c r="P262" s="467"/>
      <c r="Q262" s="467"/>
      <c r="R262" s="467"/>
      <c r="S262" s="467"/>
      <c r="T262" s="467"/>
      <c r="U262" s="467"/>
      <c r="V262" s="467"/>
      <c r="AC262" s="467"/>
      <c r="AG262" s="467"/>
      <c r="AH262" s="467"/>
      <c r="AZ262" s="467"/>
      <c r="BA262" s="467"/>
      <c r="BB262" s="467"/>
      <c r="BC262" s="467"/>
    </row>
    <row r="263" spans="12:55" x14ac:dyDescent="0.2">
      <c r="L263" s="467"/>
      <c r="M263" s="467"/>
      <c r="N263" s="467"/>
      <c r="O263" s="467"/>
      <c r="P263" s="467"/>
      <c r="Q263" s="467"/>
      <c r="R263" s="467"/>
      <c r="S263" s="467"/>
      <c r="T263" s="467"/>
      <c r="U263" s="467"/>
      <c r="V263" s="467"/>
      <c r="AC263" s="467"/>
      <c r="AG263" s="467"/>
      <c r="AH263" s="467"/>
      <c r="AZ263" s="467"/>
      <c r="BA263" s="467"/>
      <c r="BB263" s="467"/>
      <c r="BC263" s="467"/>
    </row>
    <row r="264" spans="12:55" x14ac:dyDescent="0.2">
      <c r="L264" s="467"/>
      <c r="M264" s="467"/>
      <c r="N264" s="467"/>
      <c r="O264" s="467"/>
      <c r="P264" s="467"/>
      <c r="Q264" s="467"/>
      <c r="R264" s="467"/>
      <c r="S264" s="467"/>
      <c r="T264" s="467"/>
      <c r="U264" s="467"/>
      <c r="V264" s="467"/>
      <c r="AC264" s="467"/>
      <c r="AG264" s="467"/>
      <c r="AH264" s="467"/>
      <c r="AZ264" s="467"/>
      <c r="BA264" s="467"/>
      <c r="BB264" s="467"/>
      <c r="BC264" s="467"/>
    </row>
    <row r="265" spans="12:55" x14ac:dyDescent="0.2">
      <c r="L265" s="467"/>
      <c r="M265" s="467"/>
      <c r="N265" s="467"/>
      <c r="O265" s="467"/>
      <c r="P265" s="467"/>
      <c r="Q265" s="467"/>
      <c r="R265" s="467"/>
      <c r="S265" s="467"/>
      <c r="T265" s="467"/>
      <c r="U265" s="467"/>
      <c r="V265" s="467"/>
      <c r="AC265" s="467"/>
      <c r="AG265" s="467"/>
      <c r="AH265" s="467"/>
      <c r="AZ265" s="467"/>
      <c r="BA265" s="467"/>
      <c r="BB265" s="467"/>
      <c r="BC265" s="467"/>
    </row>
    <row r="266" spans="12:55" x14ac:dyDescent="0.2">
      <c r="L266" s="467"/>
      <c r="M266" s="467"/>
      <c r="N266" s="467"/>
      <c r="O266" s="467"/>
      <c r="P266" s="467"/>
      <c r="Q266" s="467"/>
      <c r="R266" s="467"/>
      <c r="S266" s="467"/>
      <c r="T266" s="467"/>
      <c r="U266" s="467"/>
      <c r="V266" s="467"/>
      <c r="AC266" s="467"/>
      <c r="AG266" s="467"/>
      <c r="AH266" s="467"/>
      <c r="AZ266" s="467"/>
      <c r="BA266" s="467"/>
      <c r="BB266" s="467"/>
      <c r="BC266" s="467"/>
    </row>
    <row r="267" spans="12:55" x14ac:dyDescent="0.2">
      <c r="L267" s="467"/>
      <c r="M267" s="467"/>
      <c r="N267" s="467"/>
      <c r="O267" s="467"/>
      <c r="P267" s="467"/>
      <c r="Q267" s="467"/>
      <c r="R267" s="467"/>
      <c r="S267" s="467"/>
      <c r="T267" s="467"/>
      <c r="U267" s="467"/>
      <c r="V267" s="467"/>
      <c r="AC267" s="467"/>
      <c r="AG267" s="467"/>
      <c r="AH267" s="467"/>
      <c r="AZ267" s="467"/>
      <c r="BA267" s="467"/>
      <c r="BB267" s="467"/>
      <c r="BC267" s="467"/>
    </row>
    <row r="268" spans="12:55" x14ac:dyDescent="0.2">
      <c r="L268" s="467"/>
      <c r="M268" s="467"/>
      <c r="N268" s="467"/>
      <c r="O268" s="467"/>
      <c r="P268" s="467"/>
      <c r="Q268" s="467"/>
      <c r="R268" s="467"/>
      <c r="S268" s="467"/>
      <c r="T268" s="467"/>
      <c r="U268" s="467"/>
      <c r="V268" s="467"/>
      <c r="AC268" s="467"/>
      <c r="AG268" s="467"/>
      <c r="AH268" s="467"/>
      <c r="AZ268" s="467"/>
      <c r="BA268" s="467"/>
      <c r="BB268" s="467"/>
      <c r="BC268" s="467"/>
    </row>
    <row r="269" spans="12:55" x14ac:dyDescent="0.2">
      <c r="L269" s="467"/>
      <c r="M269" s="467"/>
      <c r="N269" s="467"/>
      <c r="O269" s="467"/>
      <c r="P269" s="467"/>
      <c r="Q269" s="467"/>
      <c r="R269" s="467"/>
      <c r="S269" s="467"/>
      <c r="T269" s="467"/>
      <c r="U269" s="467"/>
      <c r="V269" s="467"/>
      <c r="AC269" s="467"/>
      <c r="AG269" s="467"/>
      <c r="AH269" s="467"/>
      <c r="AZ269" s="467"/>
      <c r="BA269" s="467"/>
      <c r="BB269" s="467"/>
      <c r="BC269" s="467"/>
    </row>
    <row r="270" spans="12:55" x14ac:dyDescent="0.2">
      <c r="L270" s="467"/>
      <c r="M270" s="467"/>
      <c r="N270" s="467"/>
      <c r="O270" s="467"/>
      <c r="P270" s="467"/>
      <c r="Q270" s="467"/>
      <c r="R270" s="467"/>
      <c r="S270" s="467"/>
      <c r="T270" s="467"/>
      <c r="U270" s="467"/>
      <c r="V270" s="467"/>
      <c r="AC270" s="467"/>
      <c r="AG270" s="467"/>
      <c r="AH270" s="467"/>
      <c r="AZ270" s="467"/>
      <c r="BA270" s="467"/>
      <c r="BB270" s="467"/>
      <c r="BC270" s="467"/>
    </row>
    <row r="271" spans="12:55" x14ac:dyDescent="0.2">
      <c r="L271" s="467"/>
      <c r="M271" s="467"/>
      <c r="N271" s="467"/>
      <c r="O271" s="467"/>
      <c r="P271" s="467"/>
      <c r="Q271" s="467"/>
      <c r="R271" s="467"/>
      <c r="S271" s="467"/>
      <c r="T271" s="467"/>
      <c r="U271" s="467"/>
      <c r="V271" s="467"/>
      <c r="AC271" s="467"/>
      <c r="AG271" s="467"/>
      <c r="AH271" s="467"/>
      <c r="AZ271" s="467"/>
      <c r="BA271" s="467"/>
      <c r="BB271" s="467"/>
      <c r="BC271" s="467"/>
    </row>
    <row r="272" spans="12:55" x14ac:dyDescent="0.2">
      <c r="L272" s="467"/>
      <c r="M272" s="467"/>
      <c r="N272" s="467"/>
      <c r="O272" s="467"/>
      <c r="P272" s="467"/>
      <c r="Q272" s="467"/>
      <c r="R272" s="467"/>
      <c r="S272" s="467"/>
      <c r="T272" s="467"/>
      <c r="U272" s="467"/>
      <c r="V272" s="467"/>
      <c r="AC272" s="467"/>
      <c r="AG272" s="467"/>
      <c r="AH272" s="467"/>
      <c r="AZ272" s="467"/>
      <c r="BA272" s="467"/>
      <c r="BB272" s="467"/>
      <c r="BC272" s="467"/>
    </row>
    <row r="273" spans="12:55" x14ac:dyDescent="0.2">
      <c r="L273" s="467"/>
      <c r="M273" s="467"/>
      <c r="N273" s="467"/>
      <c r="O273" s="467"/>
      <c r="P273" s="467"/>
      <c r="Q273" s="467"/>
      <c r="R273" s="467"/>
      <c r="S273" s="467"/>
      <c r="T273" s="467"/>
      <c r="U273" s="467"/>
      <c r="V273" s="467"/>
      <c r="AC273" s="467"/>
      <c r="AG273" s="467"/>
      <c r="AH273" s="467"/>
      <c r="AZ273" s="467"/>
      <c r="BA273" s="467"/>
      <c r="BB273" s="467"/>
      <c r="BC273" s="467"/>
    </row>
    <row r="274" spans="12:55" x14ac:dyDescent="0.2">
      <c r="L274" s="467"/>
      <c r="M274" s="467"/>
      <c r="N274" s="467"/>
      <c r="O274" s="467"/>
      <c r="P274" s="467"/>
      <c r="Q274" s="467"/>
      <c r="R274" s="467"/>
      <c r="S274" s="467"/>
      <c r="T274" s="467"/>
      <c r="U274" s="467"/>
      <c r="V274" s="467"/>
      <c r="AC274" s="467"/>
      <c r="AG274" s="467"/>
      <c r="AH274" s="467"/>
      <c r="AZ274" s="467"/>
      <c r="BA274" s="467"/>
      <c r="BB274" s="467"/>
      <c r="BC274" s="467"/>
    </row>
    <row r="275" spans="12:55" x14ac:dyDescent="0.2">
      <c r="L275" s="467"/>
      <c r="M275" s="467"/>
      <c r="N275" s="467"/>
      <c r="O275" s="467"/>
      <c r="P275" s="467"/>
      <c r="Q275" s="467"/>
      <c r="R275" s="467"/>
      <c r="S275" s="467"/>
      <c r="T275" s="467"/>
      <c r="U275" s="467"/>
      <c r="V275" s="467"/>
      <c r="AC275" s="467"/>
      <c r="AG275" s="467"/>
      <c r="AH275" s="467"/>
      <c r="AZ275" s="467"/>
      <c r="BA275" s="467"/>
      <c r="BB275" s="467"/>
      <c r="BC275" s="467"/>
    </row>
    <row r="276" spans="12:55" x14ac:dyDescent="0.2">
      <c r="L276" s="467"/>
      <c r="M276" s="467"/>
      <c r="N276" s="467"/>
      <c r="O276" s="467"/>
      <c r="P276" s="467"/>
      <c r="Q276" s="467"/>
      <c r="R276" s="467"/>
      <c r="S276" s="467"/>
      <c r="T276" s="467"/>
      <c r="U276" s="467"/>
      <c r="V276" s="467"/>
      <c r="AC276" s="467"/>
      <c r="AG276" s="467"/>
      <c r="AH276" s="467"/>
      <c r="AZ276" s="467"/>
      <c r="BA276" s="467"/>
      <c r="BB276" s="467"/>
      <c r="BC276" s="467"/>
    </row>
    <row r="277" spans="12:55" x14ac:dyDescent="0.2">
      <c r="L277" s="467"/>
      <c r="M277" s="467"/>
      <c r="N277" s="467"/>
      <c r="O277" s="467"/>
      <c r="P277" s="467"/>
      <c r="Q277" s="467"/>
      <c r="R277" s="467"/>
      <c r="S277" s="467"/>
      <c r="T277" s="467"/>
      <c r="U277" s="467"/>
      <c r="V277" s="467"/>
      <c r="AC277" s="467"/>
      <c r="AG277" s="467"/>
      <c r="AH277" s="467"/>
      <c r="AZ277" s="467"/>
      <c r="BA277" s="467"/>
      <c r="BB277" s="467"/>
      <c r="BC277" s="467"/>
    </row>
    <row r="278" spans="12:55" x14ac:dyDescent="0.2">
      <c r="L278" s="467"/>
      <c r="M278" s="467"/>
      <c r="N278" s="467"/>
      <c r="O278" s="467"/>
      <c r="P278" s="467"/>
      <c r="Q278" s="467"/>
      <c r="R278" s="467"/>
      <c r="S278" s="467"/>
      <c r="T278" s="467"/>
      <c r="U278" s="467"/>
      <c r="V278" s="467"/>
      <c r="AC278" s="467"/>
      <c r="AG278" s="467"/>
      <c r="AH278" s="467"/>
      <c r="AZ278" s="467"/>
      <c r="BA278" s="467"/>
      <c r="BB278" s="467"/>
      <c r="BC278" s="467"/>
    </row>
    <row r="279" spans="12:55" x14ac:dyDescent="0.2">
      <c r="L279" s="467"/>
      <c r="M279" s="467"/>
      <c r="N279" s="467"/>
      <c r="O279" s="467"/>
      <c r="P279" s="467"/>
      <c r="Q279" s="467"/>
      <c r="R279" s="467"/>
      <c r="S279" s="467"/>
      <c r="T279" s="467"/>
      <c r="U279" s="467"/>
      <c r="V279" s="467"/>
      <c r="AC279" s="467"/>
      <c r="AG279" s="467"/>
      <c r="AH279" s="467"/>
      <c r="AZ279" s="467"/>
      <c r="BA279" s="467"/>
      <c r="BB279" s="467"/>
      <c r="BC279" s="467"/>
    </row>
    <row r="280" spans="12:55" x14ac:dyDescent="0.2">
      <c r="L280" s="467"/>
      <c r="M280" s="467"/>
      <c r="N280" s="467"/>
      <c r="O280" s="467"/>
      <c r="P280" s="467"/>
      <c r="Q280" s="467"/>
      <c r="R280" s="467"/>
      <c r="S280" s="467"/>
      <c r="T280" s="467"/>
      <c r="U280" s="467"/>
      <c r="V280" s="467"/>
      <c r="AC280" s="467"/>
      <c r="AG280" s="467"/>
      <c r="AH280" s="467"/>
      <c r="AZ280" s="467"/>
      <c r="BA280" s="467"/>
      <c r="BB280" s="467"/>
      <c r="BC280" s="467"/>
    </row>
    <row r="281" spans="12:55" x14ac:dyDescent="0.2">
      <c r="L281" s="467"/>
      <c r="M281" s="467"/>
      <c r="N281" s="467"/>
      <c r="O281" s="467"/>
      <c r="P281" s="467"/>
      <c r="Q281" s="467"/>
      <c r="R281" s="467"/>
      <c r="S281" s="467"/>
      <c r="T281" s="467"/>
      <c r="U281" s="467"/>
      <c r="V281" s="467"/>
      <c r="AC281" s="467"/>
      <c r="AG281" s="467"/>
      <c r="AH281" s="467"/>
      <c r="AZ281" s="467"/>
      <c r="BA281" s="467"/>
      <c r="BB281" s="467"/>
      <c r="BC281" s="467"/>
    </row>
    <row r="282" spans="12:55" x14ac:dyDescent="0.2">
      <c r="L282" s="467"/>
      <c r="M282" s="467"/>
      <c r="N282" s="467"/>
      <c r="O282" s="467"/>
      <c r="P282" s="467"/>
      <c r="Q282" s="467"/>
      <c r="R282" s="467"/>
      <c r="S282" s="467"/>
      <c r="T282" s="467"/>
      <c r="U282" s="467"/>
      <c r="V282" s="467"/>
      <c r="AC282" s="467"/>
      <c r="AG282" s="467"/>
      <c r="AH282" s="467"/>
      <c r="AZ282" s="467"/>
      <c r="BA282" s="467"/>
      <c r="BB282" s="467"/>
      <c r="BC282" s="467"/>
    </row>
    <row r="283" spans="12:55" x14ac:dyDescent="0.2">
      <c r="L283" s="467"/>
      <c r="M283" s="467"/>
      <c r="N283" s="467"/>
      <c r="O283" s="467"/>
      <c r="P283" s="467"/>
      <c r="Q283" s="467"/>
      <c r="R283" s="467"/>
      <c r="S283" s="467"/>
      <c r="T283" s="467"/>
      <c r="U283" s="467"/>
      <c r="V283" s="467"/>
      <c r="AC283" s="467"/>
      <c r="AG283" s="467"/>
      <c r="AH283" s="467"/>
      <c r="AZ283" s="467"/>
      <c r="BA283" s="467"/>
      <c r="BB283" s="467"/>
      <c r="BC283" s="467"/>
    </row>
    <row r="284" spans="12:55" x14ac:dyDescent="0.2">
      <c r="L284" s="467"/>
      <c r="M284" s="467"/>
      <c r="N284" s="467"/>
      <c r="O284" s="467"/>
      <c r="P284" s="467"/>
      <c r="Q284" s="467"/>
      <c r="R284" s="467"/>
      <c r="S284" s="467"/>
      <c r="T284" s="467"/>
      <c r="U284" s="467"/>
      <c r="V284" s="467"/>
      <c r="AC284" s="467"/>
      <c r="AG284" s="467"/>
      <c r="AH284" s="467"/>
      <c r="AZ284" s="467"/>
      <c r="BA284" s="467"/>
      <c r="BB284" s="467"/>
      <c r="BC284" s="467"/>
    </row>
    <row r="285" spans="12:55" x14ac:dyDescent="0.2">
      <c r="L285" s="467"/>
      <c r="M285" s="467"/>
      <c r="N285" s="467"/>
      <c r="O285" s="467"/>
      <c r="P285" s="467"/>
      <c r="Q285" s="467"/>
      <c r="R285" s="467"/>
      <c r="S285" s="467"/>
      <c r="T285" s="467"/>
      <c r="U285" s="467"/>
      <c r="V285" s="467"/>
      <c r="AC285" s="467"/>
      <c r="AG285" s="467"/>
      <c r="AH285" s="467"/>
      <c r="AZ285" s="467"/>
      <c r="BA285" s="467"/>
      <c r="BB285" s="467"/>
      <c r="BC285" s="467"/>
    </row>
    <row r="286" spans="12:55" x14ac:dyDescent="0.2">
      <c r="L286" s="467"/>
      <c r="M286" s="467"/>
      <c r="N286" s="467"/>
      <c r="O286" s="467"/>
      <c r="P286" s="467"/>
      <c r="Q286" s="467"/>
      <c r="R286" s="467"/>
      <c r="S286" s="467"/>
      <c r="T286" s="467"/>
      <c r="U286" s="467"/>
      <c r="V286" s="467"/>
      <c r="AC286" s="467"/>
      <c r="AG286" s="467"/>
      <c r="AH286" s="467"/>
      <c r="AZ286" s="467"/>
      <c r="BA286" s="467"/>
      <c r="BB286" s="467"/>
      <c r="BC286" s="467"/>
    </row>
    <row r="287" spans="12:55" x14ac:dyDescent="0.2">
      <c r="L287" s="467"/>
      <c r="M287" s="467"/>
      <c r="N287" s="467"/>
      <c r="O287" s="467"/>
      <c r="P287" s="467"/>
      <c r="Q287" s="467"/>
      <c r="R287" s="467"/>
      <c r="S287" s="467"/>
      <c r="T287" s="467"/>
      <c r="U287" s="467"/>
      <c r="V287" s="467"/>
      <c r="AC287" s="467"/>
      <c r="AG287" s="467"/>
      <c r="AH287" s="467"/>
      <c r="AZ287" s="467"/>
      <c r="BA287" s="467"/>
      <c r="BB287" s="467"/>
      <c r="BC287" s="467"/>
    </row>
    <row r="288" spans="12:55" x14ac:dyDescent="0.2">
      <c r="L288" s="467"/>
      <c r="M288" s="467"/>
      <c r="N288" s="467"/>
      <c r="O288" s="467"/>
      <c r="P288" s="467"/>
      <c r="Q288" s="467"/>
      <c r="R288" s="467"/>
      <c r="S288" s="467"/>
      <c r="T288" s="467"/>
      <c r="U288" s="467"/>
      <c r="V288" s="467"/>
      <c r="AC288" s="467"/>
      <c r="AG288" s="467"/>
      <c r="AH288" s="467"/>
      <c r="AZ288" s="467"/>
      <c r="BA288" s="467"/>
      <c r="BB288" s="467"/>
      <c r="BC288" s="467"/>
    </row>
    <row r="289" spans="12:55" x14ac:dyDescent="0.2">
      <c r="L289" s="467"/>
      <c r="M289" s="467"/>
      <c r="N289" s="467"/>
      <c r="O289" s="467"/>
      <c r="P289" s="467"/>
      <c r="Q289" s="467"/>
      <c r="R289" s="467"/>
      <c r="S289" s="467"/>
      <c r="T289" s="467"/>
      <c r="U289" s="467"/>
      <c r="V289" s="467"/>
      <c r="AC289" s="467"/>
      <c r="AG289" s="467"/>
      <c r="AH289" s="467"/>
      <c r="AZ289" s="467"/>
      <c r="BA289" s="467"/>
      <c r="BB289" s="467"/>
      <c r="BC289" s="467"/>
    </row>
    <row r="290" spans="12:55" x14ac:dyDescent="0.2">
      <c r="L290" s="467"/>
      <c r="M290" s="467"/>
      <c r="N290" s="467"/>
      <c r="O290" s="467"/>
      <c r="P290" s="467"/>
      <c r="Q290" s="467"/>
      <c r="R290" s="467"/>
      <c r="S290" s="467"/>
      <c r="T290" s="467"/>
      <c r="U290" s="467"/>
      <c r="V290" s="467"/>
      <c r="AC290" s="467"/>
      <c r="AG290" s="467"/>
      <c r="AH290" s="467"/>
      <c r="AZ290" s="467"/>
      <c r="BA290" s="467"/>
      <c r="BB290" s="467"/>
      <c r="BC290" s="467"/>
    </row>
    <row r="291" spans="12:55" x14ac:dyDescent="0.2">
      <c r="L291" s="467"/>
      <c r="M291" s="467"/>
      <c r="N291" s="467"/>
      <c r="O291" s="467"/>
      <c r="P291" s="467"/>
      <c r="Q291" s="467"/>
      <c r="R291" s="467"/>
      <c r="S291" s="467"/>
      <c r="T291" s="467"/>
      <c r="U291" s="467"/>
      <c r="V291" s="467"/>
      <c r="AC291" s="467"/>
      <c r="AG291" s="467"/>
      <c r="AH291" s="467"/>
      <c r="AZ291" s="467"/>
      <c r="BA291" s="467"/>
      <c r="BB291" s="467"/>
      <c r="BC291" s="467"/>
    </row>
    <row r="292" spans="12:55" x14ac:dyDescent="0.2">
      <c r="L292" s="467"/>
      <c r="M292" s="467"/>
      <c r="N292" s="467"/>
      <c r="O292" s="467"/>
      <c r="P292" s="467"/>
      <c r="Q292" s="467"/>
      <c r="R292" s="467"/>
      <c r="S292" s="467"/>
      <c r="T292" s="467"/>
      <c r="U292" s="467"/>
      <c r="V292" s="467"/>
      <c r="AC292" s="467"/>
      <c r="AG292" s="467"/>
      <c r="AH292" s="467"/>
      <c r="AZ292" s="467"/>
      <c r="BA292" s="467"/>
      <c r="BB292" s="467"/>
      <c r="BC292" s="467"/>
    </row>
    <row r="293" spans="12:55" x14ac:dyDescent="0.2">
      <c r="L293" s="467"/>
      <c r="M293" s="467"/>
      <c r="N293" s="467"/>
      <c r="O293" s="467"/>
      <c r="P293" s="467"/>
      <c r="Q293" s="467"/>
      <c r="R293" s="467"/>
      <c r="S293" s="467"/>
      <c r="T293" s="467"/>
      <c r="U293" s="467"/>
      <c r="V293" s="467"/>
      <c r="AC293" s="467"/>
      <c r="AG293" s="467"/>
      <c r="AH293" s="467"/>
      <c r="AZ293" s="467"/>
      <c r="BA293" s="467"/>
      <c r="BB293" s="467"/>
      <c r="BC293" s="467"/>
    </row>
    <row r="294" spans="12:55" x14ac:dyDescent="0.2">
      <c r="L294" s="467"/>
      <c r="M294" s="467"/>
      <c r="N294" s="467"/>
      <c r="O294" s="467"/>
      <c r="P294" s="467"/>
      <c r="Q294" s="467"/>
      <c r="R294" s="467"/>
      <c r="S294" s="467"/>
      <c r="T294" s="467"/>
      <c r="U294" s="467"/>
      <c r="V294" s="467"/>
      <c r="AC294" s="467"/>
      <c r="AG294" s="467"/>
      <c r="AH294" s="467"/>
      <c r="AZ294" s="467"/>
      <c r="BA294" s="467"/>
      <c r="BB294" s="467"/>
      <c r="BC294" s="467"/>
    </row>
    <row r="295" spans="12:55" x14ac:dyDescent="0.2">
      <c r="L295" s="467"/>
      <c r="M295" s="467"/>
      <c r="N295" s="467"/>
      <c r="O295" s="467"/>
      <c r="P295" s="467"/>
      <c r="Q295" s="467"/>
      <c r="R295" s="467"/>
      <c r="S295" s="467"/>
      <c r="T295" s="467"/>
      <c r="U295" s="467"/>
      <c r="V295" s="467"/>
      <c r="AC295" s="467"/>
      <c r="AG295" s="467"/>
      <c r="AH295" s="467"/>
      <c r="AZ295" s="467"/>
      <c r="BA295" s="467"/>
      <c r="BB295" s="467"/>
      <c r="BC295" s="467"/>
    </row>
    <row r="296" spans="12:55" x14ac:dyDescent="0.2">
      <c r="L296" s="467"/>
      <c r="M296" s="467"/>
      <c r="N296" s="467"/>
      <c r="O296" s="467"/>
      <c r="P296" s="467"/>
      <c r="Q296" s="467"/>
      <c r="R296" s="467"/>
      <c r="S296" s="467"/>
      <c r="T296" s="467"/>
      <c r="U296" s="467"/>
      <c r="V296" s="467"/>
      <c r="AC296" s="467"/>
      <c r="AG296" s="467"/>
      <c r="AH296" s="467"/>
      <c r="AZ296" s="467"/>
      <c r="BA296" s="467"/>
      <c r="BB296" s="467"/>
      <c r="BC296" s="467"/>
    </row>
    <row r="297" spans="12:55" x14ac:dyDescent="0.2">
      <c r="L297" s="467"/>
      <c r="M297" s="467"/>
      <c r="N297" s="467"/>
      <c r="O297" s="467"/>
      <c r="P297" s="467"/>
      <c r="Q297" s="467"/>
      <c r="R297" s="467"/>
      <c r="S297" s="467"/>
      <c r="T297" s="467"/>
      <c r="U297" s="467"/>
      <c r="V297" s="467"/>
      <c r="AC297" s="467"/>
      <c r="AG297" s="467"/>
      <c r="AH297" s="467"/>
      <c r="AZ297" s="467"/>
      <c r="BA297" s="467"/>
      <c r="BB297" s="467"/>
      <c r="BC297" s="467"/>
    </row>
    <row r="298" spans="12:55" x14ac:dyDescent="0.2">
      <c r="L298" s="467"/>
      <c r="M298" s="467"/>
      <c r="N298" s="467"/>
      <c r="O298" s="467"/>
      <c r="P298" s="467"/>
      <c r="Q298" s="467"/>
      <c r="R298" s="467"/>
      <c r="S298" s="467"/>
      <c r="T298" s="467"/>
      <c r="U298" s="467"/>
      <c r="V298" s="467"/>
      <c r="AC298" s="467"/>
      <c r="AG298" s="467"/>
      <c r="AH298" s="467"/>
      <c r="AZ298" s="467"/>
      <c r="BA298" s="467"/>
      <c r="BB298" s="467"/>
      <c r="BC298" s="467"/>
    </row>
    <row r="299" spans="12:55" x14ac:dyDescent="0.2">
      <c r="L299" s="467"/>
      <c r="M299" s="467"/>
      <c r="N299" s="467"/>
      <c r="O299" s="467"/>
      <c r="P299" s="467"/>
      <c r="Q299" s="467"/>
      <c r="R299" s="467"/>
      <c r="S299" s="467"/>
      <c r="T299" s="467"/>
      <c r="U299" s="467"/>
      <c r="V299" s="467"/>
      <c r="AC299" s="467"/>
      <c r="AG299" s="467"/>
      <c r="AH299" s="467"/>
      <c r="AZ299" s="467"/>
      <c r="BA299" s="467"/>
      <c r="BB299" s="467"/>
      <c r="BC299" s="467"/>
    </row>
    <row r="300" spans="12:55" x14ac:dyDescent="0.2">
      <c r="L300" s="467"/>
      <c r="M300" s="467"/>
      <c r="N300" s="467"/>
      <c r="O300" s="467"/>
      <c r="P300" s="467"/>
      <c r="Q300" s="467"/>
      <c r="R300" s="467"/>
      <c r="S300" s="467"/>
      <c r="T300" s="467"/>
      <c r="U300" s="467"/>
      <c r="V300" s="467"/>
      <c r="AC300" s="467"/>
      <c r="AG300" s="467"/>
      <c r="AH300" s="467"/>
      <c r="AZ300" s="467"/>
      <c r="BA300" s="467"/>
      <c r="BB300" s="467"/>
      <c r="BC300" s="467"/>
    </row>
    <row r="301" spans="12:55" x14ac:dyDescent="0.2">
      <c r="L301" s="467"/>
      <c r="M301" s="467"/>
      <c r="N301" s="467"/>
      <c r="O301" s="467"/>
      <c r="P301" s="467"/>
      <c r="Q301" s="467"/>
      <c r="R301" s="467"/>
      <c r="S301" s="467"/>
      <c r="T301" s="467"/>
      <c r="U301" s="467"/>
      <c r="V301" s="467"/>
      <c r="AC301" s="467"/>
      <c r="AG301" s="467"/>
      <c r="AH301" s="467"/>
      <c r="AZ301" s="467"/>
      <c r="BA301" s="467"/>
      <c r="BB301" s="467"/>
      <c r="BC301" s="467"/>
    </row>
    <row r="302" spans="12:55" x14ac:dyDescent="0.2">
      <c r="L302" s="467"/>
      <c r="M302" s="467"/>
      <c r="N302" s="467"/>
      <c r="O302" s="467"/>
      <c r="P302" s="467"/>
      <c r="Q302" s="467"/>
      <c r="R302" s="467"/>
      <c r="S302" s="467"/>
      <c r="T302" s="467"/>
      <c r="U302" s="467"/>
      <c r="V302" s="467"/>
      <c r="AC302" s="467"/>
      <c r="AG302" s="467"/>
      <c r="AH302" s="467"/>
      <c r="AZ302" s="467"/>
      <c r="BA302" s="467"/>
      <c r="BB302" s="467"/>
      <c r="BC302" s="467"/>
    </row>
    <row r="303" spans="12:55" x14ac:dyDescent="0.2">
      <c r="L303" s="467"/>
      <c r="M303" s="467"/>
      <c r="N303" s="467"/>
      <c r="O303" s="467"/>
      <c r="P303" s="467"/>
      <c r="Q303" s="467"/>
      <c r="R303" s="467"/>
      <c r="S303" s="467"/>
      <c r="T303" s="467"/>
      <c r="U303" s="467"/>
      <c r="V303" s="467"/>
      <c r="AC303" s="467"/>
      <c r="AG303" s="467"/>
      <c r="AH303" s="467"/>
      <c r="AZ303" s="467"/>
      <c r="BA303" s="467"/>
      <c r="BB303" s="467"/>
      <c r="BC303" s="467"/>
    </row>
    <row r="304" spans="12:55" x14ac:dyDescent="0.2">
      <c r="L304" s="467"/>
      <c r="M304" s="467"/>
      <c r="N304" s="467"/>
      <c r="O304" s="467"/>
      <c r="P304" s="467"/>
      <c r="Q304" s="467"/>
      <c r="R304" s="467"/>
      <c r="S304" s="467"/>
      <c r="T304" s="467"/>
      <c r="U304" s="467"/>
      <c r="V304" s="467"/>
      <c r="AC304" s="467"/>
      <c r="AG304" s="467"/>
      <c r="AH304" s="467"/>
      <c r="AZ304" s="467"/>
      <c r="BA304" s="467"/>
      <c r="BB304" s="467"/>
      <c r="BC304" s="467"/>
    </row>
    <row r="305" spans="12:55" x14ac:dyDescent="0.2">
      <c r="L305" s="467"/>
      <c r="M305" s="467"/>
      <c r="N305" s="467"/>
      <c r="O305" s="467"/>
      <c r="P305" s="467"/>
      <c r="Q305" s="467"/>
      <c r="R305" s="467"/>
      <c r="S305" s="467"/>
      <c r="T305" s="467"/>
      <c r="U305" s="467"/>
      <c r="V305" s="467"/>
      <c r="AC305" s="467"/>
      <c r="AG305" s="467"/>
      <c r="AH305" s="467"/>
      <c r="AZ305" s="467"/>
      <c r="BA305" s="467"/>
      <c r="BB305" s="467"/>
      <c r="BC305" s="467"/>
    </row>
    <row r="306" spans="12:55" x14ac:dyDescent="0.2">
      <c r="L306" s="467"/>
      <c r="M306" s="467"/>
      <c r="N306" s="467"/>
      <c r="O306" s="467"/>
      <c r="P306" s="467"/>
      <c r="Q306" s="467"/>
      <c r="R306" s="467"/>
      <c r="S306" s="467"/>
      <c r="T306" s="467"/>
      <c r="U306" s="467"/>
      <c r="V306" s="467"/>
      <c r="AC306" s="467"/>
      <c r="AG306" s="467"/>
      <c r="AH306" s="467"/>
      <c r="AZ306" s="467"/>
      <c r="BA306" s="467"/>
      <c r="BB306" s="467"/>
      <c r="BC306" s="467"/>
    </row>
    <row r="307" spans="12:55" x14ac:dyDescent="0.2">
      <c r="L307" s="467"/>
      <c r="M307" s="467"/>
      <c r="N307" s="467"/>
      <c r="O307" s="467"/>
      <c r="P307" s="467"/>
      <c r="Q307" s="467"/>
      <c r="R307" s="467"/>
      <c r="S307" s="467"/>
      <c r="T307" s="467"/>
      <c r="U307" s="467"/>
      <c r="V307" s="467"/>
      <c r="AC307" s="467"/>
      <c r="AG307" s="467"/>
      <c r="AH307" s="467"/>
      <c r="AZ307" s="467"/>
      <c r="BA307" s="467"/>
      <c r="BB307" s="467"/>
      <c r="BC307" s="467"/>
    </row>
    <row r="308" spans="12:55" x14ac:dyDescent="0.2">
      <c r="L308" s="467"/>
      <c r="M308" s="467"/>
      <c r="N308" s="467"/>
      <c r="O308" s="467"/>
      <c r="P308" s="467"/>
      <c r="Q308" s="467"/>
      <c r="R308" s="467"/>
      <c r="S308" s="467"/>
      <c r="T308" s="467"/>
      <c r="U308" s="467"/>
      <c r="V308" s="467"/>
      <c r="AC308" s="467"/>
      <c r="AG308" s="467"/>
      <c r="AH308" s="467"/>
      <c r="AZ308" s="467"/>
      <c r="BA308" s="467"/>
      <c r="BB308" s="467"/>
      <c r="BC308" s="467"/>
    </row>
    <row r="309" spans="12:55" x14ac:dyDescent="0.2">
      <c r="L309" s="467"/>
      <c r="M309" s="467"/>
      <c r="N309" s="467"/>
      <c r="O309" s="467"/>
      <c r="P309" s="467"/>
      <c r="Q309" s="467"/>
      <c r="R309" s="467"/>
      <c r="S309" s="467"/>
      <c r="T309" s="467"/>
      <c r="U309" s="467"/>
      <c r="V309" s="467"/>
      <c r="AC309" s="467"/>
      <c r="AG309" s="467"/>
      <c r="AH309" s="467"/>
      <c r="AZ309" s="467"/>
      <c r="BA309" s="467"/>
      <c r="BB309" s="467"/>
      <c r="BC309" s="467"/>
    </row>
    <row r="310" spans="12:55" x14ac:dyDescent="0.2">
      <c r="L310" s="467"/>
      <c r="M310" s="467"/>
      <c r="N310" s="467"/>
      <c r="O310" s="467"/>
      <c r="P310" s="467"/>
      <c r="Q310" s="467"/>
      <c r="R310" s="467"/>
      <c r="S310" s="467"/>
      <c r="T310" s="467"/>
      <c r="U310" s="467"/>
      <c r="V310" s="467"/>
      <c r="AC310" s="467"/>
      <c r="AG310" s="467"/>
      <c r="AH310" s="467"/>
      <c r="AZ310" s="467"/>
      <c r="BA310" s="467"/>
      <c r="BB310" s="467"/>
      <c r="BC310" s="467"/>
    </row>
    <row r="311" spans="12:55" x14ac:dyDescent="0.2">
      <c r="L311" s="467"/>
      <c r="M311" s="467"/>
      <c r="N311" s="467"/>
      <c r="O311" s="467"/>
      <c r="P311" s="467"/>
      <c r="Q311" s="467"/>
      <c r="R311" s="467"/>
      <c r="S311" s="467"/>
      <c r="T311" s="467"/>
      <c r="U311" s="467"/>
      <c r="V311" s="467"/>
      <c r="AC311" s="467"/>
      <c r="AG311" s="467"/>
      <c r="AH311" s="467"/>
      <c r="AZ311" s="467"/>
      <c r="BA311" s="467"/>
      <c r="BB311" s="467"/>
      <c r="BC311" s="467"/>
    </row>
    <row r="312" spans="12:55" x14ac:dyDescent="0.2">
      <c r="L312" s="467"/>
      <c r="M312" s="467"/>
      <c r="N312" s="467"/>
      <c r="O312" s="467"/>
      <c r="P312" s="467"/>
      <c r="Q312" s="467"/>
      <c r="R312" s="467"/>
      <c r="S312" s="467"/>
      <c r="T312" s="467"/>
      <c r="U312" s="467"/>
      <c r="V312" s="467"/>
      <c r="AC312" s="467"/>
      <c r="AG312" s="467"/>
      <c r="AH312" s="467"/>
      <c r="AZ312" s="467"/>
      <c r="BA312" s="467"/>
      <c r="BB312" s="467"/>
      <c r="BC312" s="467"/>
    </row>
    <row r="313" spans="12:55" x14ac:dyDescent="0.2">
      <c r="L313" s="467"/>
      <c r="M313" s="467"/>
      <c r="N313" s="467"/>
      <c r="O313" s="467"/>
      <c r="P313" s="467"/>
      <c r="Q313" s="467"/>
      <c r="R313" s="467"/>
      <c r="S313" s="467"/>
      <c r="T313" s="467"/>
      <c r="U313" s="467"/>
      <c r="V313" s="467"/>
      <c r="AC313" s="467"/>
      <c r="AG313" s="467"/>
      <c r="AH313" s="467"/>
      <c r="AZ313" s="467"/>
      <c r="BA313" s="467"/>
      <c r="BB313" s="467"/>
      <c r="BC313" s="467"/>
    </row>
    <row r="314" spans="12:55" x14ac:dyDescent="0.2">
      <c r="L314" s="467"/>
      <c r="M314" s="467"/>
      <c r="N314" s="467"/>
      <c r="O314" s="467"/>
      <c r="P314" s="467"/>
      <c r="Q314" s="467"/>
      <c r="R314" s="467"/>
      <c r="S314" s="467"/>
      <c r="T314" s="467"/>
      <c r="U314" s="467"/>
      <c r="V314" s="467"/>
      <c r="AC314" s="467"/>
      <c r="AG314" s="467"/>
      <c r="AH314" s="467"/>
      <c r="AZ314" s="467"/>
      <c r="BA314" s="467"/>
      <c r="BB314" s="467"/>
      <c r="BC314" s="467"/>
    </row>
    <row r="315" spans="12:55" x14ac:dyDescent="0.2">
      <c r="L315" s="467"/>
      <c r="M315" s="467"/>
      <c r="N315" s="467"/>
      <c r="O315" s="467"/>
      <c r="P315" s="467"/>
      <c r="Q315" s="467"/>
      <c r="R315" s="467"/>
      <c r="S315" s="467"/>
      <c r="T315" s="467"/>
      <c r="U315" s="467"/>
      <c r="V315" s="467"/>
      <c r="AC315" s="467"/>
      <c r="AG315" s="467"/>
      <c r="AH315" s="467"/>
      <c r="AZ315" s="467"/>
      <c r="BA315" s="467"/>
      <c r="BB315" s="467"/>
      <c r="BC315" s="467"/>
    </row>
    <row r="316" spans="12:55" x14ac:dyDescent="0.2">
      <c r="L316" s="467"/>
      <c r="M316" s="467"/>
      <c r="N316" s="467"/>
      <c r="O316" s="467"/>
      <c r="P316" s="467"/>
      <c r="Q316" s="467"/>
      <c r="R316" s="467"/>
      <c r="S316" s="467"/>
      <c r="T316" s="467"/>
      <c r="U316" s="467"/>
      <c r="V316" s="467"/>
      <c r="AC316" s="467"/>
      <c r="AG316" s="467"/>
      <c r="AH316" s="467"/>
      <c r="AZ316" s="467"/>
      <c r="BA316" s="467"/>
      <c r="BB316" s="467"/>
      <c r="BC316" s="467"/>
    </row>
    <row r="317" spans="12:55" x14ac:dyDescent="0.2">
      <c r="L317" s="467"/>
      <c r="M317" s="467"/>
      <c r="N317" s="467"/>
      <c r="O317" s="467"/>
      <c r="P317" s="467"/>
      <c r="Q317" s="467"/>
      <c r="R317" s="467"/>
      <c r="S317" s="467"/>
      <c r="T317" s="467"/>
      <c r="U317" s="467"/>
      <c r="V317" s="467"/>
      <c r="AC317" s="467"/>
      <c r="AG317" s="467"/>
      <c r="AH317" s="467"/>
      <c r="AZ317" s="467"/>
      <c r="BA317" s="467"/>
      <c r="BB317" s="467"/>
      <c r="BC317" s="467"/>
    </row>
    <row r="318" spans="12:55" x14ac:dyDescent="0.2">
      <c r="L318" s="467"/>
      <c r="M318" s="467"/>
      <c r="N318" s="467"/>
      <c r="O318" s="467"/>
      <c r="P318" s="467"/>
      <c r="Q318" s="467"/>
      <c r="R318" s="467"/>
      <c r="S318" s="467"/>
      <c r="T318" s="467"/>
      <c r="U318" s="467"/>
      <c r="V318" s="467"/>
      <c r="AC318" s="467"/>
      <c r="AG318" s="467"/>
      <c r="AH318" s="467"/>
      <c r="AZ318" s="467"/>
      <c r="BA318" s="467"/>
      <c r="BB318" s="467"/>
      <c r="BC318" s="467"/>
    </row>
    <row r="319" spans="12:55" x14ac:dyDescent="0.2">
      <c r="L319" s="467"/>
      <c r="M319" s="467"/>
      <c r="N319" s="467"/>
      <c r="O319" s="467"/>
      <c r="P319" s="467"/>
      <c r="Q319" s="467"/>
      <c r="R319" s="467"/>
      <c r="S319" s="467"/>
      <c r="T319" s="467"/>
      <c r="U319" s="467"/>
      <c r="V319" s="467"/>
      <c r="AC319" s="467"/>
      <c r="AG319" s="467"/>
      <c r="AH319" s="467"/>
      <c r="AZ319" s="467"/>
      <c r="BA319" s="467"/>
      <c r="BB319" s="467"/>
      <c r="BC319" s="467"/>
    </row>
    <row r="320" spans="12:55" x14ac:dyDescent="0.2">
      <c r="L320" s="467"/>
      <c r="M320" s="467"/>
      <c r="N320" s="467"/>
      <c r="O320" s="467"/>
      <c r="P320" s="467"/>
      <c r="Q320" s="467"/>
      <c r="R320" s="467"/>
      <c r="S320" s="467"/>
      <c r="T320" s="467"/>
      <c r="U320" s="467"/>
      <c r="V320" s="467"/>
      <c r="AC320" s="467"/>
      <c r="AG320" s="467"/>
      <c r="AH320" s="467"/>
      <c r="AZ320" s="467"/>
      <c r="BA320" s="467"/>
      <c r="BB320" s="467"/>
      <c r="BC320" s="467"/>
    </row>
    <row r="321" spans="12:55" x14ac:dyDescent="0.2">
      <c r="L321" s="467"/>
      <c r="M321" s="467"/>
      <c r="N321" s="467"/>
      <c r="O321" s="467"/>
      <c r="P321" s="467"/>
      <c r="Q321" s="467"/>
      <c r="R321" s="467"/>
      <c r="S321" s="467"/>
      <c r="T321" s="467"/>
      <c r="U321" s="467"/>
      <c r="V321" s="467"/>
      <c r="AC321" s="467"/>
      <c r="AG321" s="467"/>
      <c r="AH321" s="467"/>
      <c r="AZ321" s="467"/>
      <c r="BA321" s="467"/>
      <c r="BB321" s="467"/>
      <c r="BC321" s="467"/>
    </row>
    <row r="322" spans="12:55" x14ac:dyDescent="0.2">
      <c r="L322" s="467"/>
      <c r="M322" s="467"/>
      <c r="N322" s="467"/>
      <c r="O322" s="467"/>
      <c r="P322" s="467"/>
      <c r="Q322" s="467"/>
      <c r="R322" s="467"/>
      <c r="S322" s="467"/>
      <c r="T322" s="467"/>
      <c r="U322" s="467"/>
      <c r="V322" s="467"/>
      <c r="AC322" s="467"/>
      <c r="AG322" s="467"/>
      <c r="AH322" s="467"/>
      <c r="AZ322" s="467"/>
      <c r="BA322" s="467"/>
      <c r="BB322" s="467"/>
      <c r="BC322" s="467"/>
    </row>
    <row r="323" spans="12:55" x14ac:dyDescent="0.2">
      <c r="L323" s="467"/>
      <c r="M323" s="467"/>
      <c r="N323" s="467"/>
      <c r="O323" s="467"/>
      <c r="P323" s="467"/>
      <c r="Q323" s="467"/>
      <c r="R323" s="467"/>
      <c r="S323" s="467"/>
      <c r="T323" s="467"/>
      <c r="U323" s="467"/>
      <c r="V323" s="467"/>
      <c r="AC323" s="467"/>
      <c r="AG323" s="467"/>
      <c r="AH323" s="467"/>
      <c r="AZ323" s="467"/>
      <c r="BA323" s="467"/>
      <c r="BB323" s="467"/>
      <c r="BC323" s="467"/>
    </row>
    <row r="324" spans="12:55" x14ac:dyDescent="0.2">
      <c r="L324" s="467"/>
      <c r="M324" s="467"/>
      <c r="N324" s="467"/>
      <c r="O324" s="467"/>
      <c r="P324" s="467"/>
      <c r="Q324" s="467"/>
      <c r="R324" s="467"/>
      <c r="S324" s="467"/>
      <c r="T324" s="467"/>
      <c r="U324" s="467"/>
      <c r="V324" s="467"/>
      <c r="AC324" s="467"/>
      <c r="AG324" s="467"/>
      <c r="AH324" s="467"/>
      <c r="AZ324" s="467"/>
      <c r="BA324" s="467"/>
      <c r="BB324" s="467"/>
      <c r="BC324" s="467"/>
    </row>
    <row r="325" spans="12:55" x14ac:dyDescent="0.2">
      <c r="L325" s="467"/>
      <c r="M325" s="467"/>
      <c r="N325" s="467"/>
      <c r="O325" s="467"/>
      <c r="P325" s="467"/>
      <c r="Q325" s="467"/>
      <c r="R325" s="467"/>
      <c r="S325" s="467"/>
      <c r="T325" s="467"/>
      <c r="U325" s="467"/>
      <c r="V325" s="467"/>
      <c r="AC325" s="467"/>
      <c r="AG325" s="467"/>
      <c r="AH325" s="467"/>
      <c r="AZ325" s="467"/>
      <c r="BA325" s="467"/>
      <c r="BB325" s="467"/>
      <c r="BC325" s="467"/>
    </row>
    <row r="326" spans="12:55" x14ac:dyDescent="0.2">
      <c r="L326" s="467"/>
      <c r="M326" s="467"/>
      <c r="N326" s="467"/>
      <c r="O326" s="467"/>
      <c r="P326" s="467"/>
      <c r="Q326" s="467"/>
      <c r="R326" s="467"/>
      <c r="S326" s="467"/>
      <c r="T326" s="467"/>
      <c r="U326" s="467"/>
      <c r="V326" s="467"/>
      <c r="AC326" s="467"/>
      <c r="AG326" s="467"/>
      <c r="AH326" s="467"/>
      <c r="AZ326" s="467"/>
      <c r="BA326" s="467"/>
      <c r="BB326" s="467"/>
      <c r="BC326" s="467"/>
    </row>
    <row r="327" spans="12:55" x14ac:dyDescent="0.2">
      <c r="L327" s="467"/>
      <c r="M327" s="467"/>
      <c r="N327" s="467"/>
      <c r="O327" s="467"/>
      <c r="P327" s="467"/>
      <c r="Q327" s="467"/>
      <c r="R327" s="467"/>
      <c r="S327" s="467"/>
      <c r="T327" s="467"/>
      <c r="U327" s="467"/>
      <c r="V327" s="467"/>
      <c r="AC327" s="467"/>
      <c r="AG327" s="467"/>
      <c r="AH327" s="467"/>
      <c r="AZ327" s="467"/>
      <c r="BA327" s="467"/>
      <c r="BB327" s="467"/>
      <c r="BC327" s="467"/>
    </row>
    <row r="328" spans="12:55" x14ac:dyDescent="0.2">
      <c r="L328" s="467"/>
      <c r="M328" s="467"/>
      <c r="N328" s="467"/>
      <c r="O328" s="467"/>
      <c r="P328" s="467"/>
      <c r="Q328" s="467"/>
      <c r="R328" s="467"/>
      <c r="S328" s="467"/>
      <c r="T328" s="467"/>
      <c r="U328" s="467"/>
      <c r="V328" s="467"/>
      <c r="AC328" s="467"/>
      <c r="AG328" s="467"/>
      <c r="AH328" s="467"/>
      <c r="AZ328" s="467"/>
      <c r="BA328" s="467"/>
      <c r="BB328" s="467"/>
      <c r="BC328" s="467"/>
    </row>
    <row r="329" spans="12:55" x14ac:dyDescent="0.2">
      <c r="L329" s="467"/>
      <c r="M329" s="467"/>
      <c r="N329" s="467"/>
      <c r="O329" s="467"/>
      <c r="P329" s="467"/>
      <c r="Q329" s="467"/>
      <c r="R329" s="467"/>
      <c r="S329" s="467"/>
      <c r="T329" s="467"/>
      <c r="U329" s="467"/>
      <c r="V329" s="467"/>
      <c r="AC329" s="467"/>
      <c r="AG329" s="467"/>
      <c r="AH329" s="467"/>
      <c r="AZ329" s="467"/>
      <c r="BA329" s="467"/>
      <c r="BB329" s="467"/>
      <c r="BC329" s="467"/>
    </row>
    <row r="330" spans="12:55" x14ac:dyDescent="0.2">
      <c r="L330" s="467"/>
      <c r="M330" s="467"/>
      <c r="N330" s="467"/>
      <c r="O330" s="467"/>
      <c r="P330" s="467"/>
      <c r="Q330" s="467"/>
      <c r="R330" s="467"/>
      <c r="S330" s="467"/>
      <c r="T330" s="467"/>
      <c r="U330" s="467"/>
      <c r="V330" s="467"/>
      <c r="AC330" s="467"/>
      <c r="AG330" s="467"/>
      <c r="AH330" s="467"/>
      <c r="AZ330" s="467"/>
      <c r="BA330" s="467"/>
      <c r="BB330" s="467"/>
      <c r="BC330" s="467"/>
    </row>
    <row r="331" spans="12:55" x14ac:dyDescent="0.2">
      <c r="L331" s="467"/>
      <c r="M331" s="467"/>
      <c r="N331" s="467"/>
      <c r="O331" s="467"/>
      <c r="P331" s="467"/>
      <c r="Q331" s="467"/>
      <c r="R331" s="467"/>
      <c r="S331" s="467"/>
      <c r="T331" s="467"/>
      <c r="U331" s="467"/>
      <c r="V331" s="467"/>
      <c r="AC331" s="467"/>
      <c r="AG331" s="467"/>
      <c r="AH331" s="467"/>
      <c r="AZ331" s="467"/>
      <c r="BA331" s="467"/>
      <c r="BB331" s="467"/>
      <c r="BC331" s="467"/>
    </row>
    <row r="332" spans="12:55" x14ac:dyDescent="0.2">
      <c r="L332" s="467"/>
      <c r="M332" s="467"/>
      <c r="N332" s="467"/>
      <c r="O332" s="467"/>
      <c r="P332" s="467"/>
      <c r="Q332" s="467"/>
      <c r="R332" s="467"/>
      <c r="S332" s="467"/>
      <c r="T332" s="467"/>
      <c r="U332" s="467"/>
      <c r="V332" s="467"/>
      <c r="AC332" s="467"/>
      <c r="AG332" s="467"/>
      <c r="AH332" s="467"/>
      <c r="AZ332" s="467"/>
      <c r="BA332" s="467"/>
      <c r="BB332" s="467"/>
      <c r="BC332" s="467"/>
    </row>
    <row r="333" spans="12:55" x14ac:dyDescent="0.2">
      <c r="L333" s="467"/>
      <c r="M333" s="467"/>
      <c r="N333" s="467"/>
      <c r="O333" s="467"/>
      <c r="P333" s="467"/>
      <c r="Q333" s="467"/>
      <c r="R333" s="467"/>
      <c r="S333" s="467"/>
      <c r="T333" s="467"/>
      <c r="U333" s="467"/>
      <c r="V333" s="467"/>
      <c r="AC333" s="467"/>
      <c r="AG333" s="467"/>
      <c r="AH333" s="467"/>
      <c r="AZ333" s="467"/>
      <c r="BA333" s="467"/>
      <c r="BB333" s="467"/>
      <c r="BC333" s="467"/>
    </row>
    <row r="334" spans="12:55" x14ac:dyDescent="0.2">
      <c r="L334" s="467"/>
      <c r="M334" s="467"/>
      <c r="N334" s="467"/>
      <c r="O334" s="467"/>
      <c r="P334" s="467"/>
      <c r="Q334" s="467"/>
      <c r="R334" s="467"/>
      <c r="S334" s="467"/>
      <c r="T334" s="467"/>
      <c r="U334" s="467"/>
      <c r="V334" s="467"/>
      <c r="AC334" s="467"/>
      <c r="AG334" s="467"/>
      <c r="AH334" s="467"/>
      <c r="AZ334" s="467"/>
      <c r="BA334" s="467"/>
      <c r="BB334" s="467"/>
      <c r="BC334" s="467"/>
    </row>
  </sheetData>
  <mergeCells count="33">
    <mergeCell ref="AM57:BT57"/>
    <mergeCell ref="AR36:BT36"/>
    <mergeCell ref="AP38:BT38"/>
    <mergeCell ref="AM39:BT39"/>
    <mergeCell ref="AM41:BT41"/>
    <mergeCell ref="AM43:BT43"/>
    <mergeCell ref="AM45:BT45"/>
    <mergeCell ref="AM47:BT47"/>
    <mergeCell ref="AM49:BT49"/>
    <mergeCell ref="AM51:BT51"/>
    <mergeCell ref="AM53:BT53"/>
    <mergeCell ref="AM55:BT55"/>
    <mergeCell ref="AM81:BT81"/>
    <mergeCell ref="AM59:BT59"/>
    <mergeCell ref="AM61:BT61"/>
    <mergeCell ref="AM63:BT63"/>
    <mergeCell ref="AM65:BT65"/>
    <mergeCell ref="AM67:BT67"/>
    <mergeCell ref="AM69:BT69"/>
    <mergeCell ref="AM71:BT71"/>
    <mergeCell ref="AM73:BT73"/>
    <mergeCell ref="AM75:BT75"/>
    <mergeCell ref="AM77:BT77"/>
    <mergeCell ref="AM79:BT79"/>
    <mergeCell ref="AM95:BT95"/>
    <mergeCell ref="AM97:BT97"/>
    <mergeCell ref="AM99:BT99"/>
    <mergeCell ref="AM83:BT83"/>
    <mergeCell ref="AM85:BT85"/>
    <mergeCell ref="AM87:BT87"/>
    <mergeCell ref="AM89:BT89"/>
    <mergeCell ref="AM91:BT91"/>
    <mergeCell ref="AM93:BT93"/>
  </mergeCells>
  <pageMargins left="0.7" right="0.7" top="0.75" bottom="0.75" header="0.3" footer="0.3"/>
  <pageSetup orientation="portrait" r:id="rId1"/>
  <ignoredErrors>
    <ignoredError sqref="BT35:BT1048576 AM27:BF34 BT1:BT3 AM35:BJ1048576 AM1:BJ3 BJ33:BJ34 AM4:BI26 BJ30:BJ31 BJ4:BJ26 BJ27:BJ28 BK4:BN16 BJ29:BN29 BK27:BN28 BJ32:BN32 BK30:BN31 BO4:BO15 BO18:BO33 BK18:BN26 BK17:BM17 BP18:BR18 BP28:BR33 BK33:BN33 BS3:BS33 BT4:BT3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P712"/>
  <sheetViews>
    <sheetView showGridLines="0" workbookViewId="0">
      <selection activeCell="A2" sqref="A2"/>
    </sheetView>
  </sheetViews>
  <sheetFormatPr defaultRowHeight="12.75" x14ac:dyDescent="0.2"/>
  <cols>
    <col min="1" max="1" width="16" customWidth="1"/>
    <col min="2" max="2" width="16" style="20" customWidth="1"/>
    <col min="3" max="3" width="7.140625" style="132" bestFit="1" customWidth="1"/>
    <col min="4" max="4" width="15.28515625" style="21" customWidth="1"/>
    <col min="5" max="5" width="8" style="21" customWidth="1"/>
    <col min="6" max="7" width="12.140625" style="21" customWidth="1"/>
    <col min="8" max="8" width="9" style="21" customWidth="1"/>
    <col min="9" max="9" width="11.140625" customWidth="1"/>
    <col min="10" max="10" width="9.140625" customWidth="1"/>
    <col min="12" max="12" width="10.140625" customWidth="1"/>
  </cols>
  <sheetData>
    <row r="1" spans="1:68" ht="13.5" thickBot="1" x14ac:dyDescent="0.25">
      <c r="A1" s="677" t="s">
        <v>328</v>
      </c>
      <c r="B1" s="678"/>
      <c r="C1" s="679"/>
      <c r="D1" s="680"/>
      <c r="E1" s="680"/>
      <c r="F1" s="680"/>
      <c r="G1" s="680"/>
      <c r="H1" s="680"/>
    </row>
    <row r="2" spans="1:68" x14ac:dyDescent="0.2">
      <c r="A2" s="216" t="s">
        <v>19</v>
      </c>
      <c r="B2" s="689" t="s">
        <v>20</v>
      </c>
      <c r="C2" s="671" t="s">
        <v>21</v>
      </c>
      <c r="D2" s="672" t="s">
        <v>22</v>
      </c>
      <c r="E2" s="672" t="s">
        <v>21</v>
      </c>
      <c r="F2" s="672" t="s">
        <v>23</v>
      </c>
      <c r="G2" s="672" t="s">
        <v>24</v>
      </c>
      <c r="H2" s="672" t="s">
        <v>21</v>
      </c>
    </row>
    <row r="3" spans="1:68" x14ac:dyDescent="0.2">
      <c r="A3" s="217" t="s">
        <v>25</v>
      </c>
      <c r="B3" s="690">
        <v>2412681.31</v>
      </c>
      <c r="C3" s="221">
        <f>B3/$B$10</f>
        <v>0.63470939766769063</v>
      </c>
      <c r="D3" s="690">
        <v>87338.819999999978</v>
      </c>
      <c r="E3" s="221">
        <f>D3/$D$10</f>
        <v>7.6100777018251631E-2</v>
      </c>
      <c r="F3" s="690">
        <v>-12467.35</v>
      </c>
      <c r="G3" s="690">
        <f t="shared" ref="G3:G9" si="0">B3+D3</f>
        <v>2500020.13</v>
      </c>
      <c r="H3" s="221">
        <f>G3/$G$10</f>
        <v>0.50516571838058355</v>
      </c>
    </row>
    <row r="4" spans="1:68" x14ac:dyDescent="0.2">
      <c r="A4" s="217" t="s">
        <v>26</v>
      </c>
      <c r="B4" s="690">
        <v>623753.84000000008</v>
      </c>
      <c r="C4" s="221">
        <f t="shared" ref="C4:C10" si="1">B4/$B$10</f>
        <v>0.16409229948372633</v>
      </c>
      <c r="D4" s="690">
        <v>208235.70000000007</v>
      </c>
      <c r="E4" s="221">
        <f t="shared" ref="E4:E10" si="2">D4/$D$10</f>
        <v>0.18144163812769112</v>
      </c>
      <c r="F4" s="690">
        <v>-5209.4399999999987</v>
      </c>
      <c r="G4" s="690">
        <f t="shared" si="0"/>
        <v>831989.54000000015</v>
      </c>
      <c r="H4" s="224">
        <f t="shared" ref="H4:H10" si="3">G4/$G$10</f>
        <v>0.16811568379620662</v>
      </c>
      <c r="BP4">
        <v>5974908.2901375443</v>
      </c>
    </row>
    <row r="5" spans="1:68" x14ac:dyDescent="0.2">
      <c r="A5" s="217" t="s">
        <v>27</v>
      </c>
      <c r="B5" s="690">
        <v>227476.9</v>
      </c>
      <c r="C5" s="221">
        <f t="shared" si="1"/>
        <v>5.9842850186589087E-2</v>
      </c>
      <c r="D5" s="690">
        <v>183889.61</v>
      </c>
      <c r="E5" s="221">
        <f t="shared" si="2"/>
        <v>0.16022820329589132</v>
      </c>
      <c r="F5" s="690">
        <v>-8521.6200000000008</v>
      </c>
      <c r="G5" s="690">
        <f t="shared" si="0"/>
        <v>411366.51</v>
      </c>
      <c r="H5" s="224">
        <f t="shared" si="3"/>
        <v>8.3122634113295527E-2</v>
      </c>
      <c r="BP5">
        <v>377275.78999996191</v>
      </c>
    </row>
    <row r="6" spans="1:68" x14ac:dyDescent="0.2">
      <c r="A6" s="217" t="s">
        <v>28</v>
      </c>
      <c r="B6" s="690">
        <v>137574.18</v>
      </c>
      <c r="C6" s="221">
        <f t="shared" si="1"/>
        <v>3.6191943196354617E-2</v>
      </c>
      <c r="D6" s="690">
        <v>137664.99000000002</v>
      </c>
      <c r="E6" s="221">
        <f t="shared" si="2"/>
        <v>0.11995138825106459</v>
      </c>
      <c r="F6" s="690">
        <v>-7429.09</v>
      </c>
      <c r="G6" s="690">
        <f t="shared" si="0"/>
        <v>275239.17000000004</v>
      </c>
      <c r="H6" s="224">
        <f t="shared" si="3"/>
        <v>5.5616109394897383E-2</v>
      </c>
      <c r="BP6">
        <v>1723859.1027311464</v>
      </c>
    </row>
    <row r="7" spans="1:68" x14ac:dyDescent="0.2">
      <c r="A7" s="217" t="s">
        <v>151</v>
      </c>
      <c r="B7" s="690">
        <v>114652.3</v>
      </c>
      <c r="C7" s="221">
        <f t="shared" si="1"/>
        <v>3.0161833629910852E-2</v>
      </c>
      <c r="D7" s="690">
        <v>78695.98</v>
      </c>
      <c r="E7" s="221">
        <f t="shared" si="2"/>
        <v>6.8570026778616788E-2</v>
      </c>
      <c r="F7" s="690">
        <v>-5218.1600000000008</v>
      </c>
      <c r="G7" s="690">
        <f t="shared" si="0"/>
        <v>193348.28</v>
      </c>
      <c r="H7" s="224">
        <f t="shared" si="3"/>
        <v>3.9068854523123468E-2</v>
      </c>
      <c r="BP7">
        <v>1886936.4053251962</v>
      </c>
    </row>
    <row r="8" spans="1:68" x14ac:dyDescent="0.2">
      <c r="A8" s="217" t="s">
        <v>152</v>
      </c>
      <c r="B8" s="690">
        <v>87603.64</v>
      </c>
      <c r="C8" s="221">
        <f t="shared" si="1"/>
        <v>2.3046082939937564E-2</v>
      </c>
      <c r="D8" s="690">
        <v>69129.749999999985</v>
      </c>
      <c r="E8" s="221">
        <f t="shared" si="2"/>
        <v>6.0234700790295553E-2</v>
      </c>
      <c r="F8" s="690">
        <v>-3998.78</v>
      </c>
      <c r="G8" s="690">
        <f t="shared" si="0"/>
        <v>156733.38999999998</v>
      </c>
      <c r="H8" s="224">
        <f t="shared" si="3"/>
        <v>3.1670279212341446E-2</v>
      </c>
      <c r="BP8">
        <v>272134.43085956585</v>
      </c>
    </row>
    <row r="9" spans="1:68" ht="13.5" thickBot="1" x14ac:dyDescent="0.25">
      <c r="A9" s="226" t="s">
        <v>153</v>
      </c>
      <c r="B9" s="691">
        <v>197495.56000000003</v>
      </c>
      <c r="C9" s="221">
        <f t="shared" si="1"/>
        <v>5.1955592895790811E-2</v>
      </c>
      <c r="D9" s="691">
        <v>382718.31999999977</v>
      </c>
      <c r="E9" s="221">
        <f t="shared" si="2"/>
        <v>0.33347326573818908</v>
      </c>
      <c r="F9" s="691">
        <v>-97119.85</v>
      </c>
      <c r="G9" s="691">
        <f t="shared" si="0"/>
        <v>580213.87999999977</v>
      </c>
      <c r="H9" s="224">
        <f t="shared" si="3"/>
        <v>0.11724072057955212</v>
      </c>
    </row>
    <row r="10" spans="1:68" ht="13.5" thickBot="1" x14ac:dyDescent="0.25">
      <c r="A10" s="232" t="s">
        <v>24</v>
      </c>
      <c r="B10" s="692">
        <f>SUM(B3:B9)</f>
        <v>3801237.7300000004</v>
      </c>
      <c r="C10" s="235">
        <f t="shared" si="1"/>
        <v>1</v>
      </c>
      <c r="D10" s="692">
        <f>SUM(D3:D9)</f>
        <v>1147673.1699999997</v>
      </c>
      <c r="E10" s="235">
        <f t="shared" si="2"/>
        <v>1</v>
      </c>
      <c r="F10" s="692">
        <f>SUM(F3:F9)</f>
        <v>-139964.29</v>
      </c>
      <c r="G10" s="692">
        <f>SUM(G3:G9)</f>
        <v>4948910.8999999994</v>
      </c>
      <c r="H10" s="235">
        <f t="shared" si="3"/>
        <v>1</v>
      </c>
      <c r="BP10">
        <v>2105614.8973325035</v>
      </c>
    </row>
    <row r="11" spans="1:68" x14ac:dyDescent="0.2">
      <c r="BP11">
        <v>101118.09985459411</v>
      </c>
    </row>
    <row r="12" spans="1:68" x14ac:dyDescent="0.2">
      <c r="BP12">
        <v>28878</v>
      </c>
    </row>
    <row r="13" spans="1:68" ht="13.5" thickBot="1" x14ac:dyDescent="0.25">
      <c r="A13" s="677" t="s">
        <v>328</v>
      </c>
      <c r="B13" s="678"/>
      <c r="C13" s="679"/>
      <c r="D13" s="680"/>
      <c r="E13" s="680"/>
      <c r="F13" s="680"/>
      <c r="G13" s="680"/>
      <c r="H13" s="680"/>
    </row>
    <row r="14" spans="1:68" x14ac:dyDescent="0.2">
      <c r="A14" s="216" t="s">
        <v>19</v>
      </c>
      <c r="B14" s="689" t="s">
        <v>20</v>
      </c>
      <c r="C14" s="671" t="s">
        <v>21</v>
      </c>
      <c r="D14" s="672" t="s">
        <v>22</v>
      </c>
      <c r="E14" s="672" t="s">
        <v>21</v>
      </c>
      <c r="F14" s="672" t="s">
        <v>23</v>
      </c>
      <c r="G14" s="672" t="s">
        <v>24</v>
      </c>
      <c r="H14" s="672" t="s">
        <v>21</v>
      </c>
    </row>
    <row r="15" spans="1:68" x14ac:dyDescent="0.2">
      <c r="A15" s="217" t="s">
        <v>25</v>
      </c>
      <c r="B15" s="690">
        <v>2263407.4399999995</v>
      </c>
      <c r="C15" s="221">
        <f>B15/$B$22</f>
        <v>0.6505487427001263</v>
      </c>
      <c r="D15" s="690">
        <v>98960.030000000028</v>
      </c>
      <c r="E15" s="221">
        <f>D15/$D$22</f>
        <v>8.5853505871875749E-2</v>
      </c>
      <c r="F15" s="690">
        <v>-53919.6</v>
      </c>
      <c r="G15" s="690">
        <f t="shared" ref="G15:G21" si="4">B15+D15</f>
        <v>2362367.4699999997</v>
      </c>
      <c r="H15" s="224">
        <f>G15/$G$22</f>
        <v>0.51002240975284041</v>
      </c>
    </row>
    <row r="16" spans="1:68" x14ac:dyDescent="0.2">
      <c r="A16" s="217" t="s">
        <v>26</v>
      </c>
      <c r="B16" s="690">
        <v>464963.33000000007</v>
      </c>
      <c r="C16" s="221">
        <f t="shared" ref="C16:C21" si="5">B16/$B$22</f>
        <v>0.13363979652428995</v>
      </c>
      <c r="D16" s="690">
        <v>241478.21999999997</v>
      </c>
      <c r="E16" s="221">
        <f t="shared" ref="E16:E21" si="6">D16/$D$22</f>
        <v>0.20949621558017004</v>
      </c>
      <c r="F16" s="690">
        <v>-17535.089999999997</v>
      </c>
      <c r="G16" s="690">
        <f t="shared" si="4"/>
        <v>706441.55</v>
      </c>
      <c r="H16" s="224">
        <f t="shared" ref="H16:H22" si="7">G16/$G$22</f>
        <v>0.15251692476129963</v>
      </c>
      <c r="BP16">
        <v>5974908.2901375443</v>
      </c>
    </row>
    <row r="17" spans="1:68" x14ac:dyDescent="0.2">
      <c r="A17" s="217" t="s">
        <v>27</v>
      </c>
      <c r="B17" s="690">
        <v>222585.91</v>
      </c>
      <c r="C17" s="221">
        <f t="shared" si="5"/>
        <v>6.3975659589271081E-2</v>
      </c>
      <c r="D17" s="690">
        <v>167119.15999999995</v>
      </c>
      <c r="E17" s="221">
        <f t="shared" si="6"/>
        <v>0.1449854631649054</v>
      </c>
      <c r="F17" s="690">
        <v>-12399.78</v>
      </c>
      <c r="G17" s="690">
        <f t="shared" si="4"/>
        <v>389705.06999999995</v>
      </c>
      <c r="H17" s="224">
        <f t="shared" si="7"/>
        <v>8.4135225115633414E-2</v>
      </c>
      <c r="BP17">
        <v>377275.78999996191</v>
      </c>
    </row>
    <row r="18" spans="1:68" x14ac:dyDescent="0.2">
      <c r="A18" s="217" t="s">
        <v>28</v>
      </c>
      <c r="B18" s="690">
        <v>154927.1</v>
      </c>
      <c r="C18" s="221">
        <f t="shared" si="5"/>
        <v>4.4529159149170577E-2</v>
      </c>
      <c r="D18" s="690">
        <v>91682.52</v>
      </c>
      <c r="E18" s="221">
        <f t="shared" si="6"/>
        <v>7.9539848251545239E-2</v>
      </c>
      <c r="F18" s="690">
        <v>-5429.8200000000006</v>
      </c>
      <c r="G18" s="690">
        <f t="shared" si="4"/>
        <v>246609.62</v>
      </c>
      <c r="H18" s="224">
        <f t="shared" si="7"/>
        <v>5.3241688373160796E-2</v>
      </c>
      <c r="BP18">
        <v>1723859.1027311464</v>
      </c>
    </row>
    <row r="19" spans="1:68" x14ac:dyDescent="0.2">
      <c r="A19" s="217" t="s">
        <v>151</v>
      </c>
      <c r="B19" s="690">
        <v>102515.99000000002</v>
      </c>
      <c r="C19" s="221">
        <f t="shared" si="5"/>
        <v>2.9465153830703476E-2</v>
      </c>
      <c r="D19" s="690">
        <v>71313.86</v>
      </c>
      <c r="E19" s="221">
        <f t="shared" si="6"/>
        <v>6.1868866634904249E-2</v>
      </c>
      <c r="F19" s="690">
        <v>-4903.3900000000012</v>
      </c>
      <c r="G19" s="690">
        <f t="shared" si="4"/>
        <v>173829.85000000003</v>
      </c>
      <c r="H19" s="224">
        <f t="shared" si="7"/>
        <v>3.7528928123944587E-2</v>
      </c>
      <c r="BP19">
        <v>1886936.4053251962</v>
      </c>
    </row>
    <row r="20" spans="1:68" x14ac:dyDescent="0.2">
      <c r="A20" s="217" t="s">
        <v>152</v>
      </c>
      <c r="B20" s="690">
        <v>79801.62</v>
      </c>
      <c r="C20" s="221">
        <f t="shared" si="5"/>
        <v>2.2936587836096031E-2</v>
      </c>
      <c r="D20" s="690">
        <v>91200.42</v>
      </c>
      <c r="E20" s="221">
        <f t="shared" si="6"/>
        <v>7.9121598831240578E-2</v>
      </c>
      <c r="F20" s="690">
        <v>-3658.690000000001</v>
      </c>
      <c r="G20" s="690">
        <f t="shared" si="4"/>
        <v>171002.03999999998</v>
      </c>
      <c r="H20" s="224">
        <f t="shared" si="7"/>
        <v>3.6918419179490146E-2</v>
      </c>
      <c r="BP20">
        <v>272134.43085956585</v>
      </c>
    </row>
    <row r="21" spans="1:68" ht="13.5" thickBot="1" x14ac:dyDescent="0.25">
      <c r="A21" s="226" t="s">
        <v>153</v>
      </c>
      <c r="B21" s="691">
        <v>191026.67000000004</v>
      </c>
      <c r="C21" s="221">
        <f t="shared" si="5"/>
        <v>5.4904900370342506E-2</v>
      </c>
      <c r="D21" s="691">
        <v>390907.27999999985</v>
      </c>
      <c r="E21" s="221">
        <f t="shared" si="6"/>
        <v>0.3391345016653588</v>
      </c>
      <c r="F21" s="691">
        <v>-62875.210000000006</v>
      </c>
      <c r="G21" s="691">
        <f t="shared" si="4"/>
        <v>581933.94999999995</v>
      </c>
      <c r="H21" s="224">
        <f t="shared" si="7"/>
        <v>0.12563640469363091</v>
      </c>
    </row>
    <row r="22" spans="1:68" ht="13.5" thickBot="1" x14ac:dyDescent="0.25">
      <c r="A22" s="232" t="s">
        <v>24</v>
      </c>
      <c r="B22" s="692">
        <f>SUM(B15:B21)</f>
        <v>3479228.06</v>
      </c>
      <c r="C22" s="235">
        <f>B22/$B22</f>
        <v>1</v>
      </c>
      <c r="D22" s="692">
        <f>SUM(D15:D21)</f>
        <v>1152661.4899999998</v>
      </c>
      <c r="E22" s="235">
        <f>D22/$D$22</f>
        <v>1</v>
      </c>
      <c r="F22" s="692">
        <f>SUM(F15:F21)</f>
        <v>-160721.58000000002</v>
      </c>
      <c r="G22" s="692">
        <f>SUM(G15:G21)</f>
        <v>4631889.55</v>
      </c>
      <c r="H22" s="235">
        <f t="shared" si="7"/>
        <v>1</v>
      </c>
      <c r="BP22">
        <v>2105614.8973325035</v>
      </c>
    </row>
    <row r="23" spans="1:68" x14ac:dyDescent="0.2">
      <c r="BP23">
        <v>101118.09985459411</v>
      </c>
    </row>
    <row r="24" spans="1:68" x14ac:dyDescent="0.2">
      <c r="BP24">
        <v>28878</v>
      </c>
    </row>
    <row r="25" spans="1:68" ht="13.5" thickBot="1" x14ac:dyDescent="0.25">
      <c r="A25" s="677" t="s">
        <v>323</v>
      </c>
      <c r="B25" s="678"/>
      <c r="C25" s="679"/>
      <c r="D25" s="680"/>
      <c r="E25" s="680"/>
      <c r="F25" s="680"/>
      <c r="G25" s="680"/>
      <c r="H25" s="680"/>
    </row>
    <row r="26" spans="1:68" x14ac:dyDescent="0.2">
      <c r="A26" s="216" t="s">
        <v>19</v>
      </c>
      <c r="B26" s="689" t="s">
        <v>20</v>
      </c>
      <c r="C26" s="671" t="s">
        <v>21</v>
      </c>
      <c r="D26" s="672" t="s">
        <v>22</v>
      </c>
      <c r="E26" s="672" t="s">
        <v>21</v>
      </c>
      <c r="F26" s="672" t="s">
        <v>23</v>
      </c>
      <c r="G26" s="672" t="s">
        <v>24</v>
      </c>
      <c r="H26" s="672" t="s">
        <v>21</v>
      </c>
    </row>
    <row r="27" spans="1:68" x14ac:dyDescent="0.2">
      <c r="A27" s="217" t="s">
        <v>25</v>
      </c>
      <c r="B27" s="690">
        <v>2572984.3099999996</v>
      </c>
      <c r="C27" s="221">
        <f>B27/$B$34</f>
        <v>0.69490826080108736</v>
      </c>
      <c r="D27" s="690">
        <v>116482.82000000005</v>
      </c>
      <c r="E27" s="221">
        <f>D27/$D$34</f>
        <v>0.10312053345878421</v>
      </c>
      <c r="F27" s="690">
        <v>-9007.4600000000009</v>
      </c>
      <c r="G27" s="690">
        <f t="shared" ref="G27:G33" si="8">B27+D27</f>
        <v>2689467.1299999994</v>
      </c>
      <c r="H27" s="224">
        <f>G27/$G$34</f>
        <v>0.55657155093381894</v>
      </c>
    </row>
    <row r="28" spans="1:68" x14ac:dyDescent="0.2">
      <c r="A28" s="217" t="s">
        <v>26</v>
      </c>
      <c r="B28" s="690">
        <v>446036.88999999996</v>
      </c>
      <c r="C28" s="221">
        <f t="shared" ref="C28:C33" si="9">B28/$B$34</f>
        <v>0.12046506396419725</v>
      </c>
      <c r="D28" s="690">
        <v>228408.58999999997</v>
      </c>
      <c r="E28" s="221">
        <f t="shared" ref="E28:E33" si="10">D28/$D$34</f>
        <v>0.20220677733736794</v>
      </c>
      <c r="F28" s="690">
        <v>-3940.79</v>
      </c>
      <c r="G28" s="690">
        <f t="shared" si="8"/>
        <v>674445.48</v>
      </c>
      <c r="H28" s="224">
        <f t="shared" ref="H28:H33" si="11">G28/$G$34</f>
        <v>0.13957306361424243</v>
      </c>
      <c r="BP28">
        <v>5974908.2901375443</v>
      </c>
    </row>
    <row r="29" spans="1:68" x14ac:dyDescent="0.2">
      <c r="A29" s="217" t="s">
        <v>27</v>
      </c>
      <c r="B29" s="690">
        <v>210217.86</v>
      </c>
      <c r="C29" s="221">
        <f t="shared" si="9"/>
        <v>5.677536660996059E-2</v>
      </c>
      <c r="D29" s="690">
        <v>110247.45999999998</v>
      </c>
      <c r="E29" s="221">
        <f t="shared" si="10"/>
        <v>9.7600460631670549E-2</v>
      </c>
      <c r="F29" s="690">
        <v>-5927.78</v>
      </c>
      <c r="G29" s="690">
        <f t="shared" si="8"/>
        <v>320465.31999999995</v>
      </c>
      <c r="H29" s="224">
        <f t="shared" si="11"/>
        <v>6.6318668922680832E-2</v>
      </c>
      <c r="BP29">
        <v>377275.78999996191</v>
      </c>
    </row>
    <row r="30" spans="1:68" x14ac:dyDescent="0.2">
      <c r="A30" s="217" t="s">
        <v>28</v>
      </c>
      <c r="B30" s="690">
        <v>138427.31999999998</v>
      </c>
      <c r="C30" s="221">
        <f t="shared" si="9"/>
        <v>3.7386270804175864E-2</v>
      </c>
      <c r="D30" s="690">
        <v>87870.090000000011</v>
      </c>
      <c r="E30" s="221">
        <f t="shared" si="10"/>
        <v>7.7790102917077192E-2</v>
      </c>
      <c r="F30" s="690">
        <v>-5574.5199999999995</v>
      </c>
      <c r="G30" s="690">
        <f t="shared" si="8"/>
        <v>226297.40999999997</v>
      </c>
      <c r="H30" s="224">
        <f t="shared" si="11"/>
        <v>4.6831098640720818E-2</v>
      </c>
      <c r="BP30">
        <v>1723859.1027311464</v>
      </c>
    </row>
    <row r="31" spans="1:68" x14ac:dyDescent="0.2">
      <c r="A31" s="217" t="s">
        <v>151</v>
      </c>
      <c r="B31" s="690">
        <v>95762.26999999999</v>
      </c>
      <c r="C31" s="221">
        <f t="shared" si="9"/>
        <v>2.5863349511083551E-2</v>
      </c>
      <c r="D31" s="690">
        <v>91655.820000000022</v>
      </c>
      <c r="E31" s="221">
        <f t="shared" si="10"/>
        <v>8.1141554205180655E-2</v>
      </c>
      <c r="F31" s="690">
        <v>-5264.37</v>
      </c>
      <c r="G31" s="690">
        <f t="shared" si="8"/>
        <v>187418.09000000003</v>
      </c>
      <c r="H31" s="224">
        <f t="shared" si="11"/>
        <v>3.8785221005602735E-2</v>
      </c>
      <c r="BP31">
        <v>1886936.4053251962</v>
      </c>
    </row>
    <row r="32" spans="1:68" x14ac:dyDescent="0.2">
      <c r="A32" s="217" t="s">
        <v>152</v>
      </c>
      <c r="B32" s="690">
        <v>66437.73</v>
      </c>
      <c r="C32" s="221">
        <f t="shared" si="9"/>
        <v>1.7943415832905808E-2</v>
      </c>
      <c r="D32" s="690">
        <v>85912.10000000002</v>
      </c>
      <c r="E32" s="221">
        <f t="shared" si="10"/>
        <v>7.6056723064949955E-2</v>
      </c>
      <c r="F32" s="690">
        <v>-17806.129999999997</v>
      </c>
      <c r="G32" s="690">
        <f t="shared" si="8"/>
        <v>152349.83000000002</v>
      </c>
      <c r="H32" s="224">
        <f t="shared" si="11"/>
        <v>3.1528022864367067E-2</v>
      </c>
      <c r="BP32">
        <v>272134.43085956585</v>
      </c>
    </row>
    <row r="33" spans="1:68" ht="13.5" thickBot="1" x14ac:dyDescent="0.25">
      <c r="A33" s="226" t="s">
        <v>153</v>
      </c>
      <c r="B33" s="691">
        <v>172758.06000000003</v>
      </c>
      <c r="C33" s="221">
        <f t="shared" si="9"/>
        <v>4.6658272476589616E-2</v>
      </c>
      <c r="D33" s="691">
        <v>409002.42</v>
      </c>
      <c r="E33" s="221">
        <f t="shared" si="10"/>
        <v>0.36208384838496949</v>
      </c>
      <c r="F33" s="691">
        <v>-146653.22</v>
      </c>
      <c r="G33" s="691">
        <f t="shared" si="8"/>
        <v>581760.48</v>
      </c>
      <c r="H33" s="224">
        <f t="shared" si="11"/>
        <v>0.12039237401856739</v>
      </c>
    </row>
    <row r="34" spans="1:68" ht="13.5" thickBot="1" x14ac:dyDescent="0.25">
      <c r="A34" s="232" t="s">
        <v>24</v>
      </c>
      <c r="B34" s="692">
        <f>SUM(B27:B33)</f>
        <v>3702624.4399999995</v>
      </c>
      <c r="C34" s="235">
        <f>B34/$B$34</f>
        <v>1</v>
      </c>
      <c r="D34" s="692">
        <f>SUM(D27:D33)</f>
        <v>1129579.3</v>
      </c>
      <c r="E34" s="235">
        <f>D34/$D$34</f>
        <v>1</v>
      </c>
      <c r="F34" s="692">
        <f>SUM(F27:F33)</f>
        <v>-194174.27</v>
      </c>
      <c r="G34" s="692">
        <f>SUM(G27:G33)</f>
        <v>4832203.7399999984</v>
      </c>
      <c r="H34" s="235">
        <f>G34/$G$34</f>
        <v>1</v>
      </c>
      <c r="BP34">
        <v>2105614.8973325035</v>
      </c>
    </row>
    <row r="35" spans="1:68" x14ac:dyDescent="0.2">
      <c r="BP35">
        <v>101118.09985459411</v>
      </c>
    </row>
    <row r="36" spans="1:68" x14ac:dyDescent="0.2">
      <c r="BP36">
        <v>28878</v>
      </c>
    </row>
    <row r="37" spans="1:68" ht="13.5" thickBot="1" x14ac:dyDescent="0.25">
      <c r="A37" s="677" t="s">
        <v>319</v>
      </c>
      <c r="B37" s="678"/>
      <c r="C37" s="679"/>
      <c r="D37" s="680"/>
      <c r="E37" s="680"/>
      <c r="F37" s="680"/>
      <c r="G37" s="680"/>
      <c r="H37" s="680"/>
    </row>
    <row r="38" spans="1:68" x14ac:dyDescent="0.2">
      <c r="A38" s="216" t="s">
        <v>19</v>
      </c>
      <c r="B38" s="689" t="s">
        <v>20</v>
      </c>
      <c r="C38" s="671" t="s">
        <v>21</v>
      </c>
      <c r="D38" s="672" t="s">
        <v>22</v>
      </c>
      <c r="E38" s="672" t="s">
        <v>21</v>
      </c>
      <c r="F38" s="672" t="s">
        <v>23</v>
      </c>
      <c r="G38" s="672" t="s">
        <v>24</v>
      </c>
      <c r="H38" s="672" t="s">
        <v>21</v>
      </c>
    </row>
    <row r="39" spans="1:68" x14ac:dyDescent="0.2">
      <c r="A39" s="217" t="s">
        <v>25</v>
      </c>
      <c r="B39" s="690">
        <v>2590079.9600000004</v>
      </c>
      <c r="C39" s="221">
        <f>B39/$B$46</f>
        <v>0.6870614809631036</v>
      </c>
      <c r="D39" s="690">
        <v>101052.66</v>
      </c>
      <c r="E39" s="221">
        <f>D39/$D$46</f>
        <v>9.4178791132913886E-2</v>
      </c>
      <c r="F39" s="690">
        <v>-17638.249999999996</v>
      </c>
      <c r="G39" s="690">
        <f t="shared" ref="G39:G45" si="12">B39+D39</f>
        <v>2691132.6200000006</v>
      </c>
      <c r="H39" s="224">
        <f>G39/$G$46</f>
        <v>0.55569983628952113</v>
      </c>
    </row>
    <row r="40" spans="1:68" x14ac:dyDescent="0.2">
      <c r="A40" s="217" t="s">
        <v>26</v>
      </c>
      <c r="B40" s="690">
        <v>467366.27000000008</v>
      </c>
      <c r="C40" s="221">
        <f t="shared" ref="C40:C45" si="13">B40/$B$46</f>
        <v>0.12397662102231073</v>
      </c>
      <c r="D40" s="690">
        <v>140905.56000000003</v>
      </c>
      <c r="E40" s="221">
        <f t="shared" ref="E40:E45" si="14">D40/$D$46</f>
        <v>0.13132079160218313</v>
      </c>
      <c r="F40" s="690">
        <v>-6290.7699999999995</v>
      </c>
      <c r="G40" s="690">
        <f t="shared" si="12"/>
        <v>608271.83000000007</v>
      </c>
      <c r="H40" s="224">
        <f t="shared" ref="H40:H45" si="15">G40/$G$46</f>
        <v>0.12560382711667603</v>
      </c>
      <c r="BP40">
        <v>5974908.2901375443</v>
      </c>
    </row>
    <row r="41" spans="1:68" x14ac:dyDescent="0.2">
      <c r="A41" s="217" t="s">
        <v>27</v>
      </c>
      <c r="B41" s="690">
        <v>236506.67</v>
      </c>
      <c r="C41" s="221">
        <f t="shared" si="13"/>
        <v>6.2737299796664189E-2</v>
      </c>
      <c r="D41" s="690">
        <v>115630.21000000002</v>
      </c>
      <c r="E41" s="221">
        <f t="shared" si="14"/>
        <v>0.10776473767484172</v>
      </c>
      <c r="F41" s="690">
        <v>-6552.5900000000011</v>
      </c>
      <c r="G41" s="690">
        <f t="shared" si="12"/>
        <v>352136.88</v>
      </c>
      <c r="H41" s="224">
        <f t="shared" si="15"/>
        <v>7.2713773046050298E-2</v>
      </c>
      <c r="BP41">
        <v>377275.78999996191</v>
      </c>
    </row>
    <row r="42" spans="1:68" x14ac:dyDescent="0.2">
      <c r="A42" s="217" t="s">
        <v>28</v>
      </c>
      <c r="B42" s="690">
        <v>159959.32999999996</v>
      </c>
      <c r="C42" s="221">
        <f t="shared" si="13"/>
        <v>4.2431853788662863E-2</v>
      </c>
      <c r="D42" s="690">
        <v>105336.75000000004</v>
      </c>
      <c r="E42" s="221">
        <f t="shared" si="14"/>
        <v>9.8171466014550929E-2</v>
      </c>
      <c r="F42" s="690">
        <v>-8008.03</v>
      </c>
      <c r="G42" s="690">
        <f t="shared" si="12"/>
        <v>265296.08</v>
      </c>
      <c r="H42" s="224">
        <f t="shared" si="15"/>
        <v>5.4781762566666704E-2</v>
      </c>
      <c r="BP42">
        <v>1723859.1027311464</v>
      </c>
    </row>
    <row r="43" spans="1:68" x14ac:dyDescent="0.2">
      <c r="A43" s="217" t="s">
        <v>151</v>
      </c>
      <c r="B43" s="690">
        <v>93116.54</v>
      </c>
      <c r="C43" s="221">
        <f t="shared" si="13"/>
        <v>2.4700699925325878E-2</v>
      </c>
      <c r="D43" s="690">
        <v>97448.99</v>
      </c>
      <c r="E43" s="221">
        <f t="shared" si="14"/>
        <v>9.082025228552533E-2</v>
      </c>
      <c r="F43" s="690">
        <v>-20409.850000000002</v>
      </c>
      <c r="G43" s="690">
        <f t="shared" si="12"/>
        <v>190565.53</v>
      </c>
      <c r="H43" s="224">
        <f t="shared" si="15"/>
        <v>3.9350432987366415E-2</v>
      </c>
      <c r="BP43">
        <v>1886936.4053251962</v>
      </c>
    </row>
    <row r="44" spans="1:68" x14ac:dyDescent="0.2">
      <c r="A44" s="217" t="s">
        <v>152</v>
      </c>
      <c r="B44" s="690">
        <v>65296.42</v>
      </c>
      <c r="C44" s="221">
        <f t="shared" si="13"/>
        <v>1.732095368468424E-2</v>
      </c>
      <c r="D44" s="690">
        <v>66990.42</v>
      </c>
      <c r="E44" s="221">
        <f t="shared" si="14"/>
        <v>6.2433554674228037E-2</v>
      </c>
      <c r="F44" s="690">
        <v>-15933.88</v>
      </c>
      <c r="G44" s="690">
        <f t="shared" si="12"/>
        <v>132286.84</v>
      </c>
      <c r="H44" s="224">
        <f t="shared" si="15"/>
        <v>2.7316296040162474E-2</v>
      </c>
      <c r="BP44">
        <v>272134.43085956585</v>
      </c>
    </row>
    <row r="45" spans="1:68" ht="13.5" thickBot="1" x14ac:dyDescent="0.25">
      <c r="A45" s="226" t="s">
        <v>153</v>
      </c>
      <c r="B45" s="691">
        <v>157468.39000000004</v>
      </c>
      <c r="C45" s="221">
        <f t="shared" si="13"/>
        <v>4.177109081924852E-2</v>
      </c>
      <c r="D45" s="691">
        <v>445622.85000000009</v>
      </c>
      <c r="E45" s="221">
        <f t="shared" si="14"/>
        <v>0.4153104066157568</v>
      </c>
      <c r="F45" s="691">
        <v>-186662.57999999996</v>
      </c>
      <c r="G45" s="691">
        <f t="shared" si="12"/>
        <v>603091.24000000011</v>
      </c>
      <c r="H45" s="224">
        <f t="shared" si="15"/>
        <v>0.12453407195355698</v>
      </c>
    </row>
    <row r="46" spans="1:68" ht="13.5" thickBot="1" x14ac:dyDescent="0.25">
      <c r="A46" s="232" t="s">
        <v>24</v>
      </c>
      <c r="B46" s="692">
        <f>SUM(B39:B45)</f>
        <v>3769793.5800000005</v>
      </c>
      <c r="C46" s="235">
        <f>B46/$B$46</f>
        <v>1</v>
      </c>
      <c r="D46" s="692">
        <f>SUM(D39:D45)</f>
        <v>1072987.4400000004</v>
      </c>
      <c r="E46" s="235">
        <f>D46/$D$46</f>
        <v>1</v>
      </c>
      <c r="F46" s="692">
        <f>SUM(F39:F45)</f>
        <v>-261495.94999999995</v>
      </c>
      <c r="G46" s="692">
        <f>SUM(G39:G45)</f>
        <v>4842781.0200000005</v>
      </c>
      <c r="H46" s="235">
        <f>G46/$G$46</f>
        <v>1</v>
      </c>
      <c r="BP46">
        <v>2105614.8973325035</v>
      </c>
    </row>
    <row r="47" spans="1:68" x14ac:dyDescent="0.2">
      <c r="BP47">
        <v>101118.09985459411</v>
      </c>
    </row>
    <row r="48" spans="1:68" x14ac:dyDescent="0.2">
      <c r="BP48">
        <v>28878</v>
      </c>
    </row>
    <row r="49" spans="1:68" ht="13.5" thickBot="1" x14ac:dyDescent="0.25">
      <c r="A49" s="677" t="s">
        <v>315</v>
      </c>
      <c r="B49" s="678"/>
      <c r="C49" s="679"/>
      <c r="D49" s="680"/>
      <c r="E49" s="680"/>
      <c r="F49" s="680"/>
      <c r="G49" s="680"/>
      <c r="H49" s="680"/>
    </row>
    <row r="50" spans="1:68" x14ac:dyDescent="0.2">
      <c r="A50" s="216" t="s">
        <v>19</v>
      </c>
      <c r="B50" s="689" t="s">
        <v>20</v>
      </c>
      <c r="C50" s="671" t="s">
        <v>21</v>
      </c>
      <c r="D50" s="672" t="s">
        <v>22</v>
      </c>
      <c r="E50" s="672" t="s">
        <v>21</v>
      </c>
      <c r="F50" s="672" t="s">
        <v>23</v>
      </c>
      <c r="G50" s="672" t="s">
        <v>24</v>
      </c>
      <c r="H50" s="672" t="s">
        <v>21</v>
      </c>
    </row>
    <row r="51" spans="1:68" x14ac:dyDescent="0.2">
      <c r="A51" s="217" t="s">
        <v>25</v>
      </c>
      <c r="B51" s="690">
        <v>2454054.4300000002</v>
      </c>
      <c r="C51" s="221">
        <f>B51/$B$58</f>
        <v>0.6915905399670651</v>
      </c>
      <c r="D51" s="690">
        <v>22995.850000000002</v>
      </c>
      <c r="E51" s="221">
        <f>D51/$D$58</f>
        <v>2.1681916943630076E-2</v>
      </c>
      <c r="F51" s="690">
        <v>-14340.669999999998</v>
      </c>
      <c r="G51" s="690">
        <f t="shared" ref="G51:G57" si="16">B51+D51</f>
        <v>2477050.2800000003</v>
      </c>
      <c r="H51" s="224">
        <f>G51/$G$58</f>
        <v>0.53743518043849603</v>
      </c>
    </row>
    <row r="52" spans="1:68" x14ac:dyDescent="0.2">
      <c r="A52" s="217" t="s">
        <v>26</v>
      </c>
      <c r="B52" s="690">
        <v>489014.72000000003</v>
      </c>
      <c r="C52" s="221">
        <f t="shared" ref="C52:C58" si="17">B52/$B$58</f>
        <v>0.13781192060057246</v>
      </c>
      <c r="D52" s="690">
        <v>124452.7</v>
      </c>
      <c r="E52" s="221">
        <f t="shared" ref="E52:E58" si="18">D52/$D$58</f>
        <v>0.11734174230613395</v>
      </c>
      <c r="F52" s="690">
        <v>-5963.6500000000005</v>
      </c>
      <c r="G52" s="690">
        <f t="shared" si="16"/>
        <v>613467.42000000004</v>
      </c>
      <c r="H52" s="224">
        <f t="shared" ref="H52:H58" si="19">G52/$G$58</f>
        <v>0.13310144578931946</v>
      </c>
      <c r="BP52">
        <v>5974908.2901375443</v>
      </c>
    </row>
    <row r="53" spans="1:68" x14ac:dyDescent="0.2">
      <c r="A53" s="217" t="s">
        <v>27</v>
      </c>
      <c r="B53" s="690">
        <v>243930.38</v>
      </c>
      <c r="C53" s="221">
        <f t="shared" si="17"/>
        <v>6.8743358401619215E-2</v>
      </c>
      <c r="D53" s="690">
        <v>128503.12000000001</v>
      </c>
      <c r="E53" s="221">
        <f t="shared" si="18"/>
        <v>0.12116073008118111</v>
      </c>
      <c r="F53" s="690">
        <v>-8261.69</v>
      </c>
      <c r="G53" s="690">
        <f t="shared" si="16"/>
        <v>372433.5</v>
      </c>
      <c r="H53" s="224">
        <f t="shared" si="19"/>
        <v>8.0805329988634947E-2</v>
      </c>
      <c r="BP53">
        <v>377275.78999996191</v>
      </c>
    </row>
    <row r="54" spans="1:68" x14ac:dyDescent="0.2">
      <c r="A54" s="217" t="s">
        <v>28</v>
      </c>
      <c r="B54" s="690">
        <v>129259.29000000002</v>
      </c>
      <c r="C54" s="221">
        <f t="shared" si="17"/>
        <v>3.6427269531613224E-2</v>
      </c>
      <c r="D54" s="690">
        <v>112337.39</v>
      </c>
      <c r="E54" s="221">
        <f t="shared" si="18"/>
        <v>0.10591867487586584</v>
      </c>
      <c r="F54" s="690">
        <v>-25121.700000000008</v>
      </c>
      <c r="G54" s="690">
        <f t="shared" si="16"/>
        <v>241596.68000000002</v>
      </c>
      <c r="H54" s="224">
        <f t="shared" si="19"/>
        <v>5.2418215470838796E-2</v>
      </c>
      <c r="BP54">
        <v>1723859.1027311464</v>
      </c>
    </row>
    <row r="55" spans="1:68" x14ac:dyDescent="0.2">
      <c r="A55" s="217" t="s">
        <v>151</v>
      </c>
      <c r="B55" s="690">
        <v>77226.209999999992</v>
      </c>
      <c r="C55" s="221">
        <f t="shared" si="17"/>
        <v>2.1763541843491201E-2</v>
      </c>
      <c r="D55" s="690">
        <v>71157.539999999994</v>
      </c>
      <c r="E55" s="221">
        <f t="shared" si="18"/>
        <v>6.7091752302830057E-2</v>
      </c>
      <c r="F55" s="690">
        <v>-18844.810000000001</v>
      </c>
      <c r="G55" s="690">
        <f t="shared" si="16"/>
        <v>148383.75</v>
      </c>
      <c r="H55" s="224">
        <f t="shared" si="19"/>
        <v>3.2194198115102726E-2</v>
      </c>
      <c r="BP55">
        <v>1886936.4053251962</v>
      </c>
    </row>
    <row r="56" spans="1:68" x14ac:dyDescent="0.2">
      <c r="A56" s="217" t="s">
        <v>152</v>
      </c>
      <c r="B56" s="690">
        <v>35182.790000000008</v>
      </c>
      <c r="C56" s="221">
        <f t="shared" si="17"/>
        <v>9.9150550355347495E-3</v>
      </c>
      <c r="D56" s="690">
        <v>56187.96</v>
      </c>
      <c r="E56" s="221">
        <f t="shared" si="18"/>
        <v>5.2977501677563939E-2</v>
      </c>
      <c r="F56" s="690">
        <v>-46536.409999999996</v>
      </c>
      <c r="G56" s="690">
        <f t="shared" si="16"/>
        <v>91370.75</v>
      </c>
      <c r="H56" s="224">
        <f t="shared" si="19"/>
        <v>1.9824327309597729E-2</v>
      </c>
      <c r="BP56">
        <v>272134.43085956585</v>
      </c>
    </row>
    <row r="57" spans="1:68" ht="13.5" thickBot="1" x14ac:dyDescent="0.25">
      <c r="A57" s="226" t="s">
        <v>153</v>
      </c>
      <c r="B57" s="691">
        <v>119753.23000000003</v>
      </c>
      <c r="C57" s="221">
        <f t="shared" si="17"/>
        <v>3.3748314620104067E-2</v>
      </c>
      <c r="D57" s="691">
        <v>544965.84999999986</v>
      </c>
      <c r="E57" s="221">
        <f t="shared" si="18"/>
        <v>0.51382768181279503</v>
      </c>
      <c r="F57" s="691">
        <v>-182605.02000000002</v>
      </c>
      <c r="G57" s="691">
        <f t="shared" si="16"/>
        <v>664719.07999999984</v>
      </c>
      <c r="H57" s="224">
        <f t="shared" si="19"/>
        <v>0.14422130288801038</v>
      </c>
    </row>
    <row r="58" spans="1:68" ht="13.5" thickBot="1" x14ac:dyDescent="0.25">
      <c r="A58" s="232" t="s">
        <v>24</v>
      </c>
      <c r="B58" s="692">
        <f>SUM(B51:B57)</f>
        <v>3548421.0500000003</v>
      </c>
      <c r="C58" s="235">
        <f t="shared" si="17"/>
        <v>1</v>
      </c>
      <c r="D58" s="692">
        <f>SUM(D51:D57)</f>
        <v>1060600.4099999999</v>
      </c>
      <c r="E58" s="235">
        <f t="shared" si="18"/>
        <v>1</v>
      </c>
      <c r="F58" s="692">
        <f>SUM(F51:F57)</f>
        <v>-301673.95</v>
      </c>
      <c r="G58" s="692">
        <f>SUM(G51:G57)</f>
        <v>4609021.46</v>
      </c>
      <c r="H58" s="235">
        <f t="shared" si="19"/>
        <v>1</v>
      </c>
      <c r="BP58">
        <v>2105614.8973325035</v>
      </c>
    </row>
    <row r="59" spans="1:68" x14ac:dyDescent="0.2">
      <c r="BP59">
        <v>101118.09985459411</v>
      </c>
    </row>
    <row r="60" spans="1:68" x14ac:dyDescent="0.2">
      <c r="BP60">
        <v>28878</v>
      </c>
    </row>
    <row r="61" spans="1:68" ht="13.5" thickBot="1" x14ac:dyDescent="0.25">
      <c r="A61" s="677" t="s">
        <v>308</v>
      </c>
      <c r="B61" s="678"/>
      <c r="C61" s="679"/>
      <c r="D61" s="680"/>
      <c r="E61" s="680"/>
      <c r="F61" s="680"/>
      <c r="G61" s="680"/>
      <c r="H61" s="680"/>
    </row>
    <row r="62" spans="1:68" x14ac:dyDescent="0.2">
      <c r="A62" s="216" t="s">
        <v>19</v>
      </c>
      <c r="B62" s="689" t="s">
        <v>20</v>
      </c>
      <c r="C62" s="671" t="s">
        <v>21</v>
      </c>
      <c r="D62" s="672" t="s">
        <v>22</v>
      </c>
      <c r="E62" s="672" t="s">
        <v>21</v>
      </c>
      <c r="F62" s="672" t="s">
        <v>23</v>
      </c>
      <c r="G62" s="672" t="s">
        <v>24</v>
      </c>
      <c r="H62" s="672" t="s">
        <v>21</v>
      </c>
    </row>
    <row r="63" spans="1:68" x14ac:dyDescent="0.2">
      <c r="A63" s="217" t="s">
        <v>25</v>
      </c>
      <c r="B63" s="690">
        <v>2433885.94</v>
      </c>
      <c r="C63" s="221">
        <f>B63/$B$70</f>
        <v>0.63854091129069201</v>
      </c>
      <c r="D63" s="690">
        <v>93159.28</v>
      </c>
      <c r="E63" s="221">
        <f>D63/$D$70</f>
        <v>7.6285452148663196E-2</v>
      </c>
      <c r="F63" s="690">
        <v>-7698.64</v>
      </c>
      <c r="G63" s="690">
        <f t="shared" ref="G63:G69" si="20">B63+D63</f>
        <v>2527045.2199999997</v>
      </c>
      <c r="H63" s="224">
        <f>G63/$G$70</f>
        <v>0.50211218443501893</v>
      </c>
    </row>
    <row r="64" spans="1:68" x14ac:dyDescent="0.2">
      <c r="A64" s="217" t="s">
        <v>26</v>
      </c>
      <c r="B64" s="690">
        <v>552588.53</v>
      </c>
      <c r="C64" s="221">
        <f t="shared" ref="C64:C69" si="21">B64/$B$70</f>
        <v>0.14497408350819591</v>
      </c>
      <c r="D64" s="690">
        <v>175908.06</v>
      </c>
      <c r="E64" s="221">
        <f t="shared" ref="E64:E69" si="22">D64/$D$70</f>
        <v>0.14404604558659292</v>
      </c>
      <c r="F64" s="690">
        <v>-5538.9</v>
      </c>
      <c r="G64" s="690">
        <f t="shared" si="20"/>
        <v>728496.59000000008</v>
      </c>
      <c r="H64" s="224">
        <f t="shared" ref="H64:H69" si="23">G64/$G$70</f>
        <v>0.14474889933246324</v>
      </c>
    </row>
    <row r="65" spans="1:8" x14ac:dyDescent="0.2">
      <c r="A65" s="217" t="s">
        <v>27</v>
      </c>
      <c r="B65" s="690">
        <v>228135.59</v>
      </c>
      <c r="C65" s="221">
        <f t="shared" si="21"/>
        <v>5.9852397001167471E-2</v>
      </c>
      <c r="D65" s="690">
        <v>140582.14000000001</v>
      </c>
      <c r="E65" s="221">
        <f t="shared" si="22"/>
        <v>0.11511866680299238</v>
      </c>
      <c r="F65" s="690">
        <v>-34425.550000000003</v>
      </c>
      <c r="G65" s="690">
        <f t="shared" si="20"/>
        <v>368717.73</v>
      </c>
      <c r="H65" s="224">
        <f t="shared" si="23"/>
        <v>7.3262505706257808E-2</v>
      </c>
    </row>
    <row r="66" spans="1:8" x14ac:dyDescent="0.2">
      <c r="A66" s="217" t="s">
        <v>28</v>
      </c>
      <c r="B66" s="690">
        <v>120049.01</v>
      </c>
      <c r="C66" s="221">
        <f t="shared" si="21"/>
        <v>3.1495397128160157E-2</v>
      </c>
      <c r="D66" s="690">
        <v>86149.4</v>
      </c>
      <c r="E66" s="221">
        <f t="shared" si="22"/>
        <v>7.0545263245229514E-2</v>
      </c>
      <c r="F66" s="690">
        <v>-20128.400000000001</v>
      </c>
      <c r="G66" s="690">
        <f t="shared" si="20"/>
        <v>206198.40999999997</v>
      </c>
      <c r="H66" s="224">
        <f t="shared" si="23"/>
        <v>4.0970669322699202E-2</v>
      </c>
    </row>
    <row r="67" spans="1:8" x14ac:dyDescent="0.2">
      <c r="A67" s="217" t="s">
        <v>151</v>
      </c>
      <c r="B67" s="690">
        <v>100319.08</v>
      </c>
      <c r="C67" s="221">
        <f t="shared" si="21"/>
        <v>2.6319161350282436E-2</v>
      </c>
      <c r="D67" s="690">
        <v>65665.83</v>
      </c>
      <c r="E67" s="221">
        <f t="shared" si="22"/>
        <v>5.3771857535473144E-2</v>
      </c>
      <c r="F67" s="690">
        <v>-56564.75</v>
      </c>
      <c r="G67" s="690">
        <f t="shared" si="20"/>
        <v>165984.91</v>
      </c>
      <c r="H67" s="224">
        <f t="shared" si="23"/>
        <v>3.2980433070109456E-2</v>
      </c>
    </row>
    <row r="68" spans="1:8" x14ac:dyDescent="0.2">
      <c r="A68" s="217" t="s">
        <v>152</v>
      </c>
      <c r="B68" s="690">
        <v>105045.35</v>
      </c>
      <c r="C68" s="221">
        <f t="shared" si="21"/>
        <v>2.7559119518907979E-2</v>
      </c>
      <c r="D68" s="690">
        <v>73725.94</v>
      </c>
      <c r="E68" s="221">
        <f t="shared" si="22"/>
        <v>6.0372049547669476E-2</v>
      </c>
      <c r="F68" s="690">
        <v>-67978.649999999994</v>
      </c>
      <c r="G68" s="690">
        <f t="shared" si="20"/>
        <v>178771.29</v>
      </c>
      <c r="H68" s="224">
        <f t="shared" si="23"/>
        <v>3.552102757233852E-2</v>
      </c>
    </row>
    <row r="69" spans="1:8" ht="13.5" thickBot="1" x14ac:dyDescent="0.25">
      <c r="A69" s="226" t="s">
        <v>153</v>
      </c>
      <c r="B69" s="691">
        <v>271613.15000000002</v>
      </c>
      <c r="C69" s="221">
        <f t="shared" si="21"/>
        <v>7.1258930202594217E-2</v>
      </c>
      <c r="D69" s="691">
        <v>586002.61</v>
      </c>
      <c r="E69" s="221">
        <f t="shared" si="22"/>
        <v>0.47986066513337955</v>
      </c>
      <c r="F69" s="691">
        <v>-117594.05</v>
      </c>
      <c r="G69" s="691">
        <f t="shared" si="20"/>
        <v>857615.76</v>
      </c>
      <c r="H69" s="224">
        <f t="shared" si="23"/>
        <v>0.17040428056111279</v>
      </c>
    </row>
    <row r="70" spans="1:8" ht="13.5" thickBot="1" x14ac:dyDescent="0.25">
      <c r="A70" s="232" t="s">
        <v>24</v>
      </c>
      <c r="B70" s="692">
        <f>SUM(B63:B69)</f>
        <v>3811636.6499999994</v>
      </c>
      <c r="C70" s="234">
        <f>B70/$B$70</f>
        <v>1</v>
      </c>
      <c r="D70" s="692">
        <f>SUM(D63:D69)</f>
        <v>1221193.2599999998</v>
      </c>
      <c r="E70" s="235">
        <f>SUM(E63:E69)</f>
        <v>1.0000000000000002</v>
      </c>
      <c r="F70" s="692">
        <f>SUM(F63:F69)</f>
        <v>-309928.94</v>
      </c>
      <c r="G70" s="692">
        <f>SUM(G63:G69)</f>
        <v>5032829.91</v>
      </c>
      <c r="H70" s="235">
        <f>SUM(H63:H69)</f>
        <v>1</v>
      </c>
    </row>
    <row r="73" spans="1:8" ht="13.5" thickBot="1" x14ac:dyDescent="0.25">
      <c r="A73" s="677" t="s">
        <v>302</v>
      </c>
      <c r="B73" s="678"/>
      <c r="C73" s="679"/>
      <c r="D73" s="680"/>
      <c r="E73" s="680"/>
      <c r="F73" s="680"/>
      <c r="G73" s="680"/>
      <c r="H73" s="680"/>
    </row>
    <row r="74" spans="1:8" x14ac:dyDescent="0.2">
      <c r="A74" s="216" t="s">
        <v>19</v>
      </c>
      <c r="B74" s="689" t="s">
        <v>20</v>
      </c>
      <c r="C74" s="671" t="s">
        <v>21</v>
      </c>
      <c r="D74" s="672" t="s">
        <v>22</v>
      </c>
      <c r="E74" s="672" t="s">
        <v>21</v>
      </c>
      <c r="F74" s="672" t="s">
        <v>23</v>
      </c>
      <c r="G74" s="672" t="s">
        <v>24</v>
      </c>
      <c r="H74" s="672" t="s">
        <v>21</v>
      </c>
    </row>
    <row r="75" spans="1:8" x14ac:dyDescent="0.2">
      <c r="A75" s="217" t="s">
        <v>25</v>
      </c>
      <c r="B75" s="690">
        <v>2500060.06</v>
      </c>
      <c r="C75" s="221">
        <f>B75/$B$82</f>
        <v>0.59545072427921464</v>
      </c>
      <c r="D75" s="690">
        <v>14407.890000000001</v>
      </c>
      <c r="E75" s="221">
        <f>D75/$D$82</f>
        <v>1.2743435934991212E-2</v>
      </c>
      <c r="F75" s="690">
        <v>-20297.200000000004</v>
      </c>
      <c r="G75" s="690">
        <f t="shared" ref="G75:G81" si="24">B75+D75</f>
        <v>2514467.9500000002</v>
      </c>
      <c r="H75" s="224">
        <f>G75/$G$82</f>
        <v>0.47182719026798281</v>
      </c>
    </row>
    <row r="76" spans="1:8" x14ac:dyDescent="0.2">
      <c r="A76" s="217" t="s">
        <v>26</v>
      </c>
      <c r="B76" s="690">
        <v>530784.48999999987</v>
      </c>
      <c r="C76" s="221">
        <f t="shared" ref="C76:C81" si="25">B76/$B$82</f>
        <v>0.1264193665038085</v>
      </c>
      <c r="D76" s="690">
        <v>167138.72999999995</v>
      </c>
      <c r="E76" s="221">
        <f t="shared" ref="E76:E81" si="26">D76/$D$82</f>
        <v>0.14783023038146412</v>
      </c>
      <c r="F76" s="690">
        <v>-27242.89</v>
      </c>
      <c r="G76" s="690">
        <f t="shared" si="24"/>
        <v>697923.21999999986</v>
      </c>
      <c r="H76" s="224">
        <f t="shared" ref="H76:H81" si="27">G76/$G$82</f>
        <v>0.13096176147935515</v>
      </c>
    </row>
    <row r="77" spans="1:8" x14ac:dyDescent="0.2">
      <c r="A77" s="217" t="s">
        <v>27</v>
      </c>
      <c r="B77" s="690">
        <v>197509.83000000002</v>
      </c>
      <c r="C77" s="221">
        <f t="shared" si="25"/>
        <v>4.704181839766064E-2</v>
      </c>
      <c r="D77" s="690">
        <v>98746.910000000018</v>
      </c>
      <c r="E77" s="221">
        <f t="shared" si="26"/>
        <v>8.7339292662794013E-2</v>
      </c>
      <c r="F77" s="690">
        <v>-18445.419999999991</v>
      </c>
      <c r="G77" s="690">
        <f t="shared" si="24"/>
        <v>296256.74000000005</v>
      </c>
      <c r="H77" s="224">
        <f t="shared" si="27"/>
        <v>5.5591078515099916E-2</v>
      </c>
    </row>
    <row r="78" spans="1:8" x14ac:dyDescent="0.2">
      <c r="A78" s="217" t="s">
        <v>28</v>
      </c>
      <c r="B78" s="690">
        <v>192467.61000000002</v>
      </c>
      <c r="C78" s="221">
        <f t="shared" si="25"/>
        <v>4.5840889828378535E-2</v>
      </c>
      <c r="D78" s="690">
        <v>58473.41</v>
      </c>
      <c r="E78" s="221">
        <f t="shared" si="26"/>
        <v>5.171834003698491E-2</v>
      </c>
      <c r="F78" s="690">
        <v>-47657.19999999999</v>
      </c>
      <c r="G78" s="690">
        <f t="shared" si="24"/>
        <v>250941.02000000002</v>
      </c>
      <c r="H78" s="224">
        <f t="shared" si="27"/>
        <v>4.7087812906735076E-2</v>
      </c>
    </row>
    <row r="79" spans="1:8" x14ac:dyDescent="0.2">
      <c r="A79" s="217" t="s">
        <v>151</v>
      </c>
      <c r="B79" s="690">
        <v>250308.77999999997</v>
      </c>
      <c r="C79" s="221">
        <f t="shared" si="25"/>
        <v>5.9617185494514315E-2</v>
      </c>
      <c r="D79" s="690">
        <v>60781.14</v>
      </c>
      <c r="E79" s="221">
        <f t="shared" si="26"/>
        <v>5.3759472320078217E-2</v>
      </c>
      <c r="F79" s="690">
        <v>-60041.709999999992</v>
      </c>
      <c r="G79" s="690">
        <f t="shared" si="24"/>
        <v>311089.91999999998</v>
      </c>
      <c r="H79" s="224">
        <f t="shared" si="27"/>
        <v>5.8374449701890825E-2</v>
      </c>
    </row>
    <row r="80" spans="1:8" x14ac:dyDescent="0.2">
      <c r="A80" s="217" t="s">
        <v>152</v>
      </c>
      <c r="B80" s="690">
        <v>225065.06</v>
      </c>
      <c r="C80" s="221">
        <f t="shared" si="25"/>
        <v>5.3604773393701947E-2</v>
      </c>
      <c r="D80" s="690">
        <v>58530.499999999993</v>
      </c>
      <c r="E80" s="221">
        <f t="shared" si="26"/>
        <v>5.1768834783788818E-2</v>
      </c>
      <c r="F80" s="690">
        <v>-52228.460000000006</v>
      </c>
      <c r="G80" s="690">
        <f t="shared" si="24"/>
        <v>283595.56</v>
      </c>
      <c r="H80" s="224">
        <f t="shared" si="27"/>
        <v>5.3215272140285236E-2</v>
      </c>
    </row>
    <row r="81" spans="1:8" ht="13.5" thickBot="1" x14ac:dyDescent="0.25">
      <c r="A81" s="226" t="s">
        <v>153</v>
      </c>
      <c r="B81" s="691">
        <v>302405.26</v>
      </c>
      <c r="C81" s="221">
        <f t="shared" si="25"/>
        <v>7.2025242102721418E-2</v>
      </c>
      <c r="D81" s="691">
        <v>672534.08</v>
      </c>
      <c r="E81" s="221">
        <f t="shared" si="26"/>
        <v>0.59484039387989873</v>
      </c>
      <c r="F81" s="691">
        <v>-58646.259999999995</v>
      </c>
      <c r="G81" s="691">
        <f t="shared" si="24"/>
        <v>974939.34</v>
      </c>
      <c r="H81" s="224">
        <f t="shared" si="27"/>
        <v>0.18294243498865098</v>
      </c>
    </row>
    <row r="82" spans="1:8" ht="13.5" thickBot="1" x14ac:dyDescent="0.25">
      <c r="A82" s="232" t="s">
        <v>24</v>
      </c>
      <c r="B82" s="692">
        <f>SUM(B75:B81)</f>
        <v>4198601.09</v>
      </c>
      <c r="C82" s="234">
        <f>B82/$B$82</f>
        <v>1</v>
      </c>
      <c r="D82" s="692">
        <f>SUM(D75:D81)</f>
        <v>1130612.6599999999</v>
      </c>
      <c r="E82" s="235">
        <f>SUM(E75:E81)</f>
        <v>1</v>
      </c>
      <c r="F82" s="692">
        <f>SUM(F75:F81)</f>
        <v>-284559.14</v>
      </c>
      <c r="G82" s="692">
        <f>SUM(G75:G81)</f>
        <v>5329213.75</v>
      </c>
      <c r="H82" s="235">
        <f>SUM(H75:H81)</f>
        <v>1</v>
      </c>
    </row>
    <row r="85" spans="1:8" ht="13.5" thickBot="1" x14ac:dyDescent="0.25">
      <c r="A85" s="677" t="s">
        <v>301</v>
      </c>
      <c r="B85" s="678"/>
      <c r="C85" s="679"/>
      <c r="D85" s="680"/>
      <c r="E85" s="680"/>
      <c r="F85" s="680"/>
      <c r="G85" s="680"/>
      <c r="H85" s="680"/>
    </row>
    <row r="86" spans="1:8" x14ac:dyDescent="0.2">
      <c r="A86" s="216" t="s">
        <v>19</v>
      </c>
      <c r="B86" s="689" t="s">
        <v>20</v>
      </c>
      <c r="C86" s="671" t="s">
        <v>21</v>
      </c>
      <c r="D86" s="672" t="s">
        <v>22</v>
      </c>
      <c r="E86" s="672" t="s">
        <v>21</v>
      </c>
      <c r="F86" s="672" t="s">
        <v>23</v>
      </c>
      <c r="G86" s="672" t="s">
        <v>24</v>
      </c>
      <c r="H86" s="672" t="s">
        <v>21</v>
      </c>
    </row>
    <row r="87" spans="1:8" x14ac:dyDescent="0.2">
      <c r="A87" s="217" t="s">
        <v>25</v>
      </c>
      <c r="B87" s="690">
        <v>2371897.5099999998</v>
      </c>
      <c r="C87" s="221">
        <f>B87/$B$94</f>
        <v>0.67636590189846235</v>
      </c>
      <c r="D87" s="690">
        <v>49112.369999999995</v>
      </c>
      <c r="E87" s="224">
        <f>D87/$D$94</f>
        <v>4.1315887300241202E-2</v>
      </c>
      <c r="F87" s="690">
        <v>-10180.36</v>
      </c>
      <c r="G87" s="690">
        <f t="shared" ref="G87:G93" si="28">B87+D87</f>
        <v>2421009.88</v>
      </c>
      <c r="H87" s="224">
        <f>G87/$G$94</f>
        <v>0.51559883056443745</v>
      </c>
    </row>
    <row r="88" spans="1:8" x14ac:dyDescent="0.2">
      <c r="A88" s="217" t="s">
        <v>26</v>
      </c>
      <c r="B88" s="690">
        <v>443629.01</v>
      </c>
      <c r="C88" s="221">
        <f t="shared" ref="C88:C93" si="29">B88/$B$94</f>
        <v>0.12650442702179487</v>
      </c>
      <c r="D88" s="690">
        <v>137727.4</v>
      </c>
      <c r="E88" s="224">
        <f t="shared" ref="E88:E93" si="30">D88/$D$94</f>
        <v>0.11586347261505076</v>
      </c>
      <c r="F88" s="690">
        <v>-3156.89</v>
      </c>
      <c r="G88" s="690">
        <f t="shared" si="28"/>
        <v>581356.41</v>
      </c>
      <c r="H88" s="224">
        <f t="shared" ref="H88:H93" si="31">G88/$G$94</f>
        <v>0.1238105997060779</v>
      </c>
    </row>
    <row r="89" spans="1:8" x14ac:dyDescent="0.2">
      <c r="A89" s="217" t="s">
        <v>27</v>
      </c>
      <c r="B89" s="690">
        <v>165538.19</v>
      </c>
      <c r="C89" s="221">
        <f t="shared" si="29"/>
        <v>4.7204563732599486E-2</v>
      </c>
      <c r="D89" s="690">
        <v>106765.25999999998</v>
      </c>
      <c r="E89" s="224">
        <f t="shared" si="30"/>
        <v>8.9816505490184037E-2</v>
      </c>
      <c r="F89" s="690">
        <v>-5621.420000000001</v>
      </c>
      <c r="G89" s="690">
        <f t="shared" si="28"/>
        <v>272303.44999999995</v>
      </c>
      <c r="H89" s="224">
        <f t="shared" si="31"/>
        <v>5.7992055934386257E-2</v>
      </c>
    </row>
    <row r="90" spans="1:8" x14ac:dyDescent="0.2">
      <c r="A90" s="217" t="s">
        <v>28</v>
      </c>
      <c r="B90" s="690">
        <v>110859.79000000004</v>
      </c>
      <c r="C90" s="221">
        <f t="shared" si="29"/>
        <v>3.1612572436835254E-2</v>
      </c>
      <c r="D90" s="690">
        <v>112221.92999999998</v>
      </c>
      <c r="E90" s="224">
        <f t="shared" si="30"/>
        <v>9.440694090909392E-2</v>
      </c>
      <c r="F90" s="690">
        <v>-5580.6600000000017</v>
      </c>
      <c r="G90" s="690">
        <f t="shared" si="28"/>
        <v>223081.72000000003</v>
      </c>
      <c r="H90" s="224">
        <f t="shared" si="31"/>
        <v>4.7509378174162308E-2</v>
      </c>
    </row>
    <row r="91" spans="1:8" x14ac:dyDescent="0.2">
      <c r="A91" s="217" t="s">
        <v>151</v>
      </c>
      <c r="B91" s="690">
        <v>79619.910000000018</v>
      </c>
      <c r="C91" s="221">
        <f t="shared" si="29"/>
        <v>2.2704266103059579E-2</v>
      </c>
      <c r="D91" s="690">
        <v>95286.940000000017</v>
      </c>
      <c r="E91" s="224">
        <f t="shared" si="30"/>
        <v>8.016034400752492E-2</v>
      </c>
      <c r="F91" s="690">
        <v>-6484.4</v>
      </c>
      <c r="G91" s="690">
        <f t="shared" si="28"/>
        <v>174906.85000000003</v>
      </c>
      <c r="H91" s="224">
        <f t="shared" si="31"/>
        <v>3.7249648612631643E-2</v>
      </c>
    </row>
    <row r="92" spans="1:8" x14ac:dyDescent="0.2">
      <c r="A92" s="217" t="s">
        <v>152</v>
      </c>
      <c r="B92" s="690">
        <v>39965.94</v>
      </c>
      <c r="C92" s="221">
        <f t="shared" si="29"/>
        <v>1.1396613445291671E-2</v>
      </c>
      <c r="D92" s="690">
        <v>102619.44999999997</v>
      </c>
      <c r="E92" s="224">
        <f t="shared" si="30"/>
        <v>8.632883387653123E-2</v>
      </c>
      <c r="F92" s="690">
        <v>-6252.9500000000016</v>
      </c>
      <c r="G92" s="690">
        <f t="shared" si="28"/>
        <v>142585.38999999996</v>
      </c>
      <c r="H92" s="224">
        <f t="shared" si="31"/>
        <v>3.0366195919685476E-2</v>
      </c>
    </row>
    <row r="93" spans="1:8" ht="13.5" thickBot="1" x14ac:dyDescent="0.25">
      <c r="A93" s="226" t="s">
        <v>153</v>
      </c>
      <c r="B93" s="691">
        <v>295315.61999999994</v>
      </c>
      <c r="C93" s="221">
        <f t="shared" si="29"/>
        <v>8.4211655361956836E-2</v>
      </c>
      <c r="D93" s="691">
        <v>584970.88000000012</v>
      </c>
      <c r="E93" s="224">
        <f t="shared" si="30"/>
        <v>0.49210801580137403</v>
      </c>
      <c r="F93" s="691">
        <v>-57602.52</v>
      </c>
      <c r="G93" s="691">
        <f t="shared" si="28"/>
        <v>880286.5</v>
      </c>
      <c r="H93" s="224">
        <f t="shared" si="31"/>
        <v>0.18747329108861865</v>
      </c>
    </row>
    <row r="94" spans="1:8" ht="13.5" thickBot="1" x14ac:dyDescent="0.25">
      <c r="A94" s="232" t="s">
        <v>24</v>
      </c>
      <c r="B94" s="692">
        <f t="shared" ref="B94:H94" si="32">SUM(B87:B93)</f>
        <v>3506825.9699999997</v>
      </c>
      <c r="C94" s="234">
        <f t="shared" si="32"/>
        <v>1</v>
      </c>
      <c r="D94" s="692">
        <f t="shared" si="32"/>
        <v>1188704.23</v>
      </c>
      <c r="E94" s="235">
        <f t="shared" si="32"/>
        <v>1</v>
      </c>
      <c r="F94" s="692">
        <f t="shared" si="32"/>
        <v>-94879.200000000012</v>
      </c>
      <c r="G94" s="692">
        <f t="shared" si="32"/>
        <v>4695530.2000000011</v>
      </c>
      <c r="H94" s="772">
        <f t="shared" si="32"/>
        <v>0.99999999999999978</v>
      </c>
    </row>
    <row r="97" spans="1:8" ht="13.5" thickBot="1" x14ac:dyDescent="0.25">
      <c r="A97" s="677" t="s">
        <v>300</v>
      </c>
      <c r="B97" s="678"/>
      <c r="C97" s="679"/>
      <c r="D97" s="680"/>
      <c r="E97" s="680"/>
      <c r="F97" s="680"/>
      <c r="G97" s="680"/>
      <c r="H97" s="680"/>
    </row>
    <row r="98" spans="1:8" x14ac:dyDescent="0.2">
      <c r="A98" s="216" t="s">
        <v>19</v>
      </c>
      <c r="B98" s="689" t="s">
        <v>20</v>
      </c>
      <c r="C98" s="671" t="s">
        <v>21</v>
      </c>
      <c r="D98" s="672" t="s">
        <v>22</v>
      </c>
      <c r="E98" s="672" t="s">
        <v>21</v>
      </c>
      <c r="F98" s="672" t="s">
        <v>23</v>
      </c>
      <c r="G98" s="672" t="s">
        <v>24</v>
      </c>
      <c r="H98" s="672" t="s">
        <v>21</v>
      </c>
    </row>
    <row r="99" spans="1:8" x14ac:dyDescent="0.2">
      <c r="A99" s="217" t="s">
        <v>25</v>
      </c>
      <c r="B99" s="690">
        <v>2230117.58</v>
      </c>
      <c r="C99" s="221">
        <f>B99/$B$106</f>
        <v>0.63637088951975629</v>
      </c>
      <c r="D99" s="690">
        <v>15981.179999999997</v>
      </c>
      <c r="E99" s="224">
        <f>D99/$D$106</f>
        <v>1.2374142466719151E-2</v>
      </c>
      <c r="F99" s="690">
        <v>-13850.35</v>
      </c>
      <c r="G99" s="690">
        <f t="shared" ref="G99:G105" si="33">B99+D99</f>
        <v>2246098.7600000002</v>
      </c>
      <c r="H99" s="224">
        <f>G99/$G$106</f>
        <v>0.46833449469342808</v>
      </c>
    </row>
    <row r="100" spans="1:8" x14ac:dyDescent="0.2">
      <c r="A100" s="217" t="s">
        <v>26</v>
      </c>
      <c r="B100" s="690">
        <v>421058.62</v>
      </c>
      <c r="C100" s="221">
        <f t="shared" ref="C100:C105" si="34">B100/$B$106</f>
        <v>0.12015036828208897</v>
      </c>
      <c r="D100" s="690">
        <v>136535.4</v>
      </c>
      <c r="E100" s="224">
        <f t="shared" ref="E100:E105" si="35">D100/$D$106</f>
        <v>0.10571863225059014</v>
      </c>
      <c r="F100" s="690">
        <v>-4524.62</v>
      </c>
      <c r="G100" s="690">
        <f t="shared" si="33"/>
        <v>557594.02</v>
      </c>
      <c r="H100" s="224">
        <f t="shared" ref="H100:H105" si="36">G100/$G$106</f>
        <v>0.11626403889772738</v>
      </c>
    </row>
    <row r="101" spans="1:8" x14ac:dyDescent="0.2">
      <c r="A101" s="217" t="s">
        <v>27</v>
      </c>
      <c r="B101" s="690">
        <v>226612.16</v>
      </c>
      <c r="C101" s="221">
        <f t="shared" si="34"/>
        <v>6.4664474702357769E-2</v>
      </c>
      <c r="D101" s="690">
        <v>121187.11999999998</v>
      </c>
      <c r="E101" s="224">
        <f t="shared" si="35"/>
        <v>9.383454087942128E-2</v>
      </c>
      <c r="F101" s="690">
        <v>-2791.2499999999995</v>
      </c>
      <c r="G101" s="690">
        <f t="shared" si="33"/>
        <v>347799.27999999997</v>
      </c>
      <c r="H101" s="224">
        <f t="shared" si="36"/>
        <v>7.2519696352772167E-2</v>
      </c>
    </row>
    <row r="102" spans="1:8" x14ac:dyDescent="0.2">
      <c r="A102" s="217" t="s">
        <v>28</v>
      </c>
      <c r="B102" s="690">
        <v>124465.64</v>
      </c>
      <c r="C102" s="221">
        <f t="shared" si="34"/>
        <v>3.5516652015023242E-2</v>
      </c>
      <c r="D102" s="690">
        <v>112497.91999999998</v>
      </c>
      <c r="E102" s="224">
        <f t="shared" si="35"/>
        <v>8.7106539647859152E-2</v>
      </c>
      <c r="F102" s="690">
        <v>-5465.17</v>
      </c>
      <c r="G102" s="690">
        <f t="shared" si="33"/>
        <v>236963.56</v>
      </c>
      <c r="H102" s="224">
        <f t="shared" si="36"/>
        <v>4.9409318552562587E-2</v>
      </c>
    </row>
    <row r="103" spans="1:8" x14ac:dyDescent="0.2">
      <c r="A103" s="217" t="s">
        <v>151</v>
      </c>
      <c r="B103" s="690">
        <v>84424.56</v>
      </c>
      <c r="C103" s="221">
        <f t="shared" si="34"/>
        <v>2.4090807061623195E-2</v>
      </c>
      <c r="D103" s="690">
        <v>119455.67999999996</v>
      </c>
      <c r="E103" s="224">
        <f t="shared" si="35"/>
        <v>9.2493896118985786E-2</v>
      </c>
      <c r="F103" s="690">
        <v>-6819.22</v>
      </c>
      <c r="G103" s="690">
        <f t="shared" si="33"/>
        <v>203880.23999999996</v>
      </c>
      <c r="H103" s="224">
        <f t="shared" si="36"/>
        <v>4.2511108985419155E-2</v>
      </c>
    </row>
    <row r="104" spans="1:8" x14ac:dyDescent="0.2">
      <c r="A104" s="217" t="s">
        <v>152</v>
      </c>
      <c r="B104" s="690">
        <v>84852.82</v>
      </c>
      <c r="C104" s="221">
        <f t="shared" si="34"/>
        <v>2.4213012365769417E-2</v>
      </c>
      <c r="D104" s="690">
        <v>116626.92000000001</v>
      </c>
      <c r="E104" s="224">
        <f t="shared" si="35"/>
        <v>9.0303602333160468E-2</v>
      </c>
      <c r="F104" s="690">
        <v>-6272.6900000000005</v>
      </c>
      <c r="G104" s="690">
        <f t="shared" si="33"/>
        <v>201479.74000000002</v>
      </c>
      <c r="H104" s="224">
        <f t="shared" si="36"/>
        <v>4.201058025777249E-2</v>
      </c>
    </row>
    <row r="105" spans="1:8" ht="13.5" thickBot="1" x14ac:dyDescent="0.25">
      <c r="A105" s="226" t="s">
        <v>153</v>
      </c>
      <c r="B105" s="691">
        <v>332899.15999999997</v>
      </c>
      <c r="C105" s="221">
        <f t="shared" si="34"/>
        <v>9.4993796053381027E-2</v>
      </c>
      <c r="D105" s="691">
        <v>669213.75999999978</v>
      </c>
      <c r="E105" s="224">
        <f t="shared" si="35"/>
        <v>0.51816864630326398</v>
      </c>
      <c r="F105" s="691">
        <v>-51888.15</v>
      </c>
      <c r="G105" s="691">
        <f t="shared" si="33"/>
        <v>1002112.9199999997</v>
      </c>
      <c r="H105" s="224">
        <f t="shared" si="36"/>
        <v>0.20895076226031822</v>
      </c>
    </row>
    <row r="106" spans="1:8" ht="13.5" thickBot="1" x14ac:dyDescent="0.25">
      <c r="A106" s="232" t="s">
        <v>24</v>
      </c>
      <c r="B106" s="692">
        <f t="shared" ref="B106:H106" si="37">SUM(B99:B105)</f>
        <v>3504430.5400000005</v>
      </c>
      <c r="C106" s="234">
        <f t="shared" si="37"/>
        <v>0.99999999999999989</v>
      </c>
      <c r="D106" s="692">
        <f t="shared" si="37"/>
        <v>1291497.9799999997</v>
      </c>
      <c r="E106" s="235">
        <f t="shared" si="37"/>
        <v>1</v>
      </c>
      <c r="F106" s="692">
        <f t="shared" si="37"/>
        <v>-91611.450000000012</v>
      </c>
      <c r="G106" s="692">
        <f t="shared" si="37"/>
        <v>4795928.5199999996</v>
      </c>
      <c r="H106" s="235">
        <f t="shared" si="37"/>
        <v>1</v>
      </c>
    </row>
    <row r="108" spans="1:8" ht="13.5" thickBot="1" x14ac:dyDescent="0.25"/>
    <row r="109" spans="1:8" ht="13.5" thickBot="1" x14ac:dyDescent="0.25">
      <c r="A109" s="22" t="s">
        <v>296</v>
      </c>
      <c r="B109" s="315"/>
      <c r="C109" s="316"/>
      <c r="D109" s="317"/>
      <c r="E109" s="317"/>
      <c r="F109" s="317"/>
      <c r="G109" s="317"/>
      <c r="H109" s="318"/>
    </row>
    <row r="110" spans="1:8" x14ac:dyDescent="0.2">
      <c r="A110" s="216" t="s">
        <v>19</v>
      </c>
      <c r="B110" s="218" t="s">
        <v>20</v>
      </c>
      <c r="C110" s="220" t="s">
        <v>21</v>
      </c>
      <c r="D110" s="222" t="s">
        <v>22</v>
      </c>
      <c r="E110" s="222" t="s">
        <v>21</v>
      </c>
      <c r="F110" s="222" t="s">
        <v>23</v>
      </c>
      <c r="G110" s="222" t="s">
        <v>24</v>
      </c>
      <c r="H110" s="222" t="s">
        <v>21</v>
      </c>
    </row>
    <row r="111" spans="1:8" x14ac:dyDescent="0.2">
      <c r="A111" s="217" t="s">
        <v>25</v>
      </c>
      <c r="B111" s="219">
        <v>1793018.16</v>
      </c>
      <c r="C111" s="221">
        <f>B111/$B$118</f>
        <v>0.57024252986512436</v>
      </c>
      <c r="D111" s="219">
        <v>14288.02</v>
      </c>
      <c r="E111" s="221">
        <f t="shared" ref="E111:E118" si="38">D111/$D$118</f>
        <v>1.3640380594726062E-2</v>
      </c>
      <c r="F111" s="223">
        <v>9728.49</v>
      </c>
      <c r="G111" s="223">
        <f t="shared" ref="G111:G118" si="39">B111+D111</f>
        <v>1807306.18</v>
      </c>
      <c r="H111" s="224">
        <f t="shared" ref="H111:H118" si="40">G111/$G$118</f>
        <v>0.43115404614287722</v>
      </c>
    </row>
    <row r="112" spans="1:8" x14ac:dyDescent="0.2">
      <c r="A112" s="217" t="s">
        <v>26</v>
      </c>
      <c r="B112" s="219">
        <v>509221.5</v>
      </c>
      <c r="C112" s="221">
        <f t="shared" ref="C112:C117" si="41">B112/$B$118</f>
        <v>0.16195025956776335</v>
      </c>
      <c r="D112" s="219">
        <v>103608.43</v>
      </c>
      <c r="E112" s="221">
        <f t="shared" si="38"/>
        <v>9.8912124844592428E-2</v>
      </c>
      <c r="F112" s="225">
        <v>3935.84</v>
      </c>
      <c r="G112" s="223">
        <f t="shared" si="39"/>
        <v>612829.92999999993</v>
      </c>
      <c r="H112" s="224">
        <f t="shared" si="40"/>
        <v>0.14619775378456137</v>
      </c>
    </row>
    <row r="113" spans="1:8" x14ac:dyDescent="0.2">
      <c r="A113" s="217" t="s">
        <v>27</v>
      </c>
      <c r="B113" s="219">
        <v>221673.16</v>
      </c>
      <c r="C113" s="221">
        <f t="shared" si="41"/>
        <v>7.0499823360180847E-2</v>
      </c>
      <c r="D113" s="223">
        <v>59472.36</v>
      </c>
      <c r="E113" s="221">
        <f t="shared" si="38"/>
        <v>5.6776630020574051E-2</v>
      </c>
      <c r="F113" s="225">
        <v>6327.3</v>
      </c>
      <c r="G113" s="223">
        <f t="shared" si="39"/>
        <v>281145.52</v>
      </c>
      <c r="H113" s="224">
        <f t="shared" si="40"/>
        <v>6.7070554975329752E-2</v>
      </c>
    </row>
    <row r="114" spans="1:8" x14ac:dyDescent="0.2">
      <c r="A114" s="217" t="s">
        <v>28</v>
      </c>
      <c r="B114" s="219">
        <v>117885.61</v>
      </c>
      <c r="C114" s="221">
        <f t="shared" si="41"/>
        <v>3.749174993358316E-2</v>
      </c>
      <c r="D114" s="223">
        <v>73514.429999999993</v>
      </c>
      <c r="E114" s="221">
        <f t="shared" si="38"/>
        <v>7.0182208899787893E-2</v>
      </c>
      <c r="F114" s="225">
        <v>6869.57</v>
      </c>
      <c r="G114" s="223">
        <f t="shared" si="39"/>
        <v>191400.03999999998</v>
      </c>
      <c r="H114" s="224">
        <f t="shared" si="40"/>
        <v>4.5660720132052302E-2</v>
      </c>
    </row>
    <row r="115" spans="1:8" x14ac:dyDescent="0.2">
      <c r="A115" s="217" t="s">
        <v>151</v>
      </c>
      <c r="B115" s="219">
        <v>108281.55</v>
      </c>
      <c r="C115" s="221">
        <f t="shared" si="41"/>
        <v>3.4437322714967349E-2</v>
      </c>
      <c r="D115" s="219">
        <v>113935</v>
      </c>
      <c r="E115" s="221">
        <f t="shared" si="38"/>
        <v>0.10877061783648916</v>
      </c>
      <c r="F115" s="225">
        <v>6361.74</v>
      </c>
      <c r="G115" s="223">
        <f t="shared" si="39"/>
        <v>222216.55</v>
      </c>
      <c r="H115" s="224">
        <f t="shared" si="40"/>
        <v>5.3012359340469349E-2</v>
      </c>
    </row>
    <row r="116" spans="1:8" x14ac:dyDescent="0.2">
      <c r="A116" s="217" t="s">
        <v>152</v>
      </c>
      <c r="B116" s="219">
        <v>66787.47</v>
      </c>
      <c r="C116" s="221">
        <f t="shared" si="41"/>
        <v>2.1240752997220672E-2</v>
      </c>
      <c r="D116" s="219">
        <v>111661.19</v>
      </c>
      <c r="E116" s="221">
        <f t="shared" si="38"/>
        <v>0.10659987382856545</v>
      </c>
      <c r="F116" s="225">
        <v>39991.61</v>
      </c>
      <c r="G116" s="223">
        <f t="shared" si="39"/>
        <v>178448.66</v>
      </c>
      <c r="H116" s="224">
        <f t="shared" si="40"/>
        <v>4.2571016820057907E-2</v>
      </c>
    </row>
    <row r="117" spans="1:8" ht="13.5" thickBot="1" x14ac:dyDescent="0.25">
      <c r="A117" s="226" t="s">
        <v>153</v>
      </c>
      <c r="B117" s="227">
        <v>327440.57</v>
      </c>
      <c r="C117" s="221">
        <f t="shared" si="41"/>
        <v>0.10413756156116029</v>
      </c>
      <c r="D117" s="227">
        <v>571000.14</v>
      </c>
      <c r="E117" s="228">
        <f t="shared" si="38"/>
        <v>0.54511816397526491</v>
      </c>
      <c r="F117" s="230">
        <v>49612.69</v>
      </c>
      <c r="G117" s="231">
        <f t="shared" si="39"/>
        <v>898440.71</v>
      </c>
      <c r="H117" s="229">
        <f t="shared" si="40"/>
        <v>0.21433354880465211</v>
      </c>
    </row>
    <row r="118" spans="1:8" ht="13.5" thickBot="1" x14ac:dyDescent="0.25">
      <c r="A118" s="232" t="s">
        <v>24</v>
      </c>
      <c r="B118" s="233">
        <f>SUM(B111:B117)</f>
        <v>3144308.02</v>
      </c>
      <c r="C118" s="234">
        <f>B118/$B$118</f>
        <v>1</v>
      </c>
      <c r="D118" s="233">
        <f>SUM(D111:D117)</f>
        <v>1047479.5700000001</v>
      </c>
      <c r="E118" s="234">
        <f t="shared" si="38"/>
        <v>1</v>
      </c>
      <c r="F118" s="236">
        <f>SUM(F111:F117)</f>
        <v>122827.24</v>
      </c>
      <c r="G118" s="236">
        <f t="shared" si="39"/>
        <v>4191787.59</v>
      </c>
      <c r="H118" s="235">
        <f t="shared" si="40"/>
        <v>1</v>
      </c>
    </row>
    <row r="119" spans="1:8" x14ac:dyDescent="0.2">
      <c r="A119" s="17"/>
      <c r="B119" s="51"/>
      <c r="C119" s="633"/>
      <c r="D119" s="51"/>
      <c r="E119" s="461"/>
      <c r="F119" s="53"/>
      <c r="G119" s="53"/>
      <c r="H119" s="461"/>
    </row>
    <row r="120" spans="1:8" ht="13.5" thickBot="1" x14ac:dyDescent="0.25">
      <c r="A120" s="17"/>
      <c r="B120" s="51"/>
      <c r="C120" s="633"/>
      <c r="D120" s="51"/>
      <c r="E120" s="461"/>
      <c r="F120" s="53"/>
      <c r="G120" s="53"/>
      <c r="H120" s="461"/>
    </row>
    <row r="121" spans="1:8" ht="13.5" thickBot="1" x14ac:dyDescent="0.25">
      <c r="A121" s="22" t="s">
        <v>295</v>
      </c>
      <c r="B121" s="315"/>
      <c r="C121" s="316"/>
      <c r="D121" s="317"/>
      <c r="E121" s="317"/>
      <c r="F121" s="317"/>
      <c r="G121" s="317"/>
      <c r="H121" s="318"/>
    </row>
    <row r="122" spans="1:8" x14ac:dyDescent="0.2">
      <c r="A122" s="216" t="s">
        <v>19</v>
      </c>
      <c r="B122" s="218" t="s">
        <v>20</v>
      </c>
      <c r="C122" s="220" t="s">
        <v>21</v>
      </c>
      <c r="D122" s="222" t="s">
        <v>22</v>
      </c>
      <c r="E122" s="222" t="s">
        <v>21</v>
      </c>
      <c r="F122" s="222" t="s">
        <v>23</v>
      </c>
      <c r="G122" s="222" t="s">
        <v>24</v>
      </c>
      <c r="H122" s="222" t="s">
        <v>21</v>
      </c>
    </row>
    <row r="123" spans="1:8" x14ac:dyDescent="0.2">
      <c r="A123" s="217" t="s">
        <v>25</v>
      </c>
      <c r="B123" s="219">
        <v>2130423.66</v>
      </c>
      <c r="C123" s="221">
        <f>B123/$B$130</f>
        <v>0.62210297572195628</v>
      </c>
      <c r="D123" s="219">
        <v>40088.81</v>
      </c>
      <c r="E123" s="221">
        <f>D123/$D$130</f>
        <v>3.6621149340611107E-2</v>
      </c>
      <c r="F123" s="223">
        <v>-79282.41</v>
      </c>
      <c r="G123" s="223">
        <f t="shared" ref="G123:G130" si="42">B123+D123</f>
        <v>2170512.4700000002</v>
      </c>
      <c r="H123" s="224">
        <f>G123/$G$130</f>
        <v>0.48028246146558073</v>
      </c>
    </row>
    <row r="124" spans="1:8" x14ac:dyDescent="0.2">
      <c r="A124" s="217" t="s">
        <v>26</v>
      </c>
      <c r="B124" s="219">
        <v>533697.79</v>
      </c>
      <c r="C124" s="221">
        <f t="shared" ref="C124:C129" si="43">B124/$B$130</f>
        <v>0.15584458130512488</v>
      </c>
      <c r="D124" s="219">
        <v>96857.44</v>
      </c>
      <c r="E124" s="221">
        <f t="shared" ref="E124:E130" si="44">D124/$D$130</f>
        <v>8.8479323157491588E-2</v>
      </c>
      <c r="F124" s="225">
        <v>-106013.33</v>
      </c>
      <c r="G124" s="223">
        <f t="shared" si="42"/>
        <v>630555.23</v>
      </c>
      <c r="H124" s="224">
        <f t="shared" ref="H124:H130" si="45">G124/$G$130</f>
        <v>0.13952678095159499</v>
      </c>
    </row>
    <row r="125" spans="1:8" x14ac:dyDescent="0.2">
      <c r="A125" s="217" t="s">
        <v>27</v>
      </c>
      <c r="B125" s="219">
        <v>201349.7</v>
      </c>
      <c r="C125" s="221">
        <f t="shared" si="43"/>
        <v>5.8795933354740898E-2</v>
      </c>
      <c r="D125" s="223">
        <v>65920.62</v>
      </c>
      <c r="E125" s="221">
        <f t="shared" si="44"/>
        <v>6.0218521568629141E-2</v>
      </c>
      <c r="F125" s="225">
        <v>-103685.45</v>
      </c>
      <c r="G125" s="223">
        <f t="shared" si="42"/>
        <v>267270.32</v>
      </c>
      <c r="H125" s="224">
        <f t="shared" si="45"/>
        <v>5.914052507898903E-2</v>
      </c>
    </row>
    <row r="126" spans="1:8" x14ac:dyDescent="0.2">
      <c r="A126" s="217" t="s">
        <v>28</v>
      </c>
      <c r="B126" s="219">
        <v>114925.43</v>
      </c>
      <c r="C126" s="221">
        <f t="shared" si="43"/>
        <v>3.3559264915939482E-2</v>
      </c>
      <c r="D126" s="223">
        <v>124409.60000000001</v>
      </c>
      <c r="E126" s="221">
        <f t="shared" si="44"/>
        <v>0.1136482360290987</v>
      </c>
      <c r="F126" s="225">
        <v>-31529.93</v>
      </c>
      <c r="G126" s="223">
        <f t="shared" si="42"/>
        <v>239335.03</v>
      </c>
      <c r="H126" s="224">
        <f t="shared" si="45"/>
        <v>5.2959113993636071E-2</v>
      </c>
    </row>
    <row r="127" spans="1:8" x14ac:dyDescent="0.2">
      <c r="A127" s="217" t="s">
        <v>151</v>
      </c>
      <c r="B127" s="219">
        <v>77931.649999999994</v>
      </c>
      <c r="C127" s="221">
        <f t="shared" si="43"/>
        <v>2.275674659373713E-2</v>
      </c>
      <c r="D127" s="219">
        <v>116364.94</v>
      </c>
      <c r="E127" s="221">
        <f t="shared" si="44"/>
        <v>0.10629943482361416</v>
      </c>
      <c r="F127" s="225">
        <v>-46682.97</v>
      </c>
      <c r="G127" s="223">
        <f t="shared" si="42"/>
        <v>194296.59</v>
      </c>
      <c r="H127" s="224">
        <f t="shared" si="45"/>
        <v>4.2993185152983122E-2</v>
      </c>
    </row>
    <row r="128" spans="1:8" x14ac:dyDescent="0.2">
      <c r="A128" s="217" t="s">
        <v>152</v>
      </c>
      <c r="B128" s="219">
        <v>65009.93</v>
      </c>
      <c r="C128" s="221">
        <f t="shared" si="43"/>
        <v>1.8983487493035106E-2</v>
      </c>
      <c r="D128" s="219">
        <v>122125.37</v>
      </c>
      <c r="E128" s="221">
        <f t="shared" si="44"/>
        <v>0.1115615907044232</v>
      </c>
      <c r="F128" s="225">
        <v>-13648.47</v>
      </c>
      <c r="G128" s="223">
        <f t="shared" si="42"/>
        <v>187135.3</v>
      </c>
      <c r="H128" s="224">
        <f t="shared" si="45"/>
        <v>4.1408563071328439E-2</v>
      </c>
    </row>
    <row r="129" spans="1:8" ht="13.5" thickBot="1" x14ac:dyDescent="0.25">
      <c r="A129" s="226" t="s">
        <v>153</v>
      </c>
      <c r="B129" s="227">
        <v>301213.31</v>
      </c>
      <c r="C129" s="228">
        <f t="shared" si="43"/>
        <v>8.7957010615466069E-2</v>
      </c>
      <c r="D129" s="227">
        <v>528923.32999999996</v>
      </c>
      <c r="E129" s="228">
        <f t="shared" si="44"/>
        <v>0.4831717443761322</v>
      </c>
      <c r="F129" s="230">
        <v>-99169.49</v>
      </c>
      <c r="G129" s="231">
        <f t="shared" si="42"/>
        <v>830136.6399999999</v>
      </c>
      <c r="H129" s="229">
        <f t="shared" si="45"/>
        <v>0.18368937028588764</v>
      </c>
    </row>
    <row r="130" spans="1:8" ht="13.5" thickBot="1" x14ac:dyDescent="0.25">
      <c r="A130" s="232" t="s">
        <v>24</v>
      </c>
      <c r="B130" s="233">
        <f>SUM(B123:B129)</f>
        <v>3424551.4700000007</v>
      </c>
      <c r="C130" s="234">
        <f>B130/$B$130</f>
        <v>1</v>
      </c>
      <c r="D130" s="233">
        <f>SUM(D123:D129)</f>
        <v>1094690.1099999999</v>
      </c>
      <c r="E130" s="234">
        <f t="shared" si="44"/>
        <v>1</v>
      </c>
      <c r="F130" s="236">
        <f>SUM(F123:F129)</f>
        <v>-480012.04999999993</v>
      </c>
      <c r="G130" s="236">
        <f t="shared" si="42"/>
        <v>4519241.58</v>
      </c>
      <c r="H130" s="235">
        <f t="shared" si="45"/>
        <v>1</v>
      </c>
    </row>
    <row r="131" spans="1:8" x14ac:dyDescent="0.2">
      <c r="A131" s="17"/>
      <c r="B131" s="51"/>
      <c r="C131" s="633"/>
      <c r="D131" s="51"/>
      <c r="E131" s="461"/>
      <c r="F131" s="53"/>
      <c r="G131" s="53"/>
      <c r="H131" s="461"/>
    </row>
    <row r="132" spans="1:8" ht="13.5" thickBot="1" x14ac:dyDescent="0.25">
      <c r="A132" s="17"/>
      <c r="B132" s="51"/>
      <c r="C132" s="633"/>
      <c r="D132" s="51"/>
      <c r="E132" s="461"/>
      <c r="F132" s="53"/>
      <c r="G132" s="53"/>
      <c r="H132" s="461"/>
    </row>
    <row r="133" spans="1:8" ht="13.5" thickBot="1" x14ac:dyDescent="0.25">
      <c r="A133" s="22" t="s">
        <v>291</v>
      </c>
      <c r="B133" s="315"/>
      <c r="C133" s="316"/>
      <c r="D133" s="317"/>
      <c r="E133" s="317"/>
      <c r="F133" s="317"/>
      <c r="G133" s="317"/>
      <c r="H133" s="318"/>
    </row>
    <row r="134" spans="1:8" x14ac:dyDescent="0.2">
      <c r="A134" s="216" t="s">
        <v>19</v>
      </c>
      <c r="B134" s="218" t="s">
        <v>20</v>
      </c>
      <c r="C134" s="220" t="s">
        <v>21</v>
      </c>
      <c r="D134" s="222" t="s">
        <v>22</v>
      </c>
      <c r="E134" s="222" t="s">
        <v>21</v>
      </c>
      <c r="F134" s="222" t="s">
        <v>23</v>
      </c>
      <c r="G134" s="222" t="s">
        <v>24</v>
      </c>
      <c r="H134" s="222" t="s">
        <v>21</v>
      </c>
    </row>
    <row r="135" spans="1:8" x14ac:dyDescent="0.2">
      <c r="A135" s="217" t="s">
        <v>25</v>
      </c>
      <c r="B135" s="219">
        <v>2693982.16</v>
      </c>
      <c r="C135" s="221">
        <f>B135/$B$142</f>
        <v>0.6630712346673423</v>
      </c>
      <c r="D135" s="219">
        <v>17393.61</v>
      </c>
      <c r="E135" s="224">
        <f>D135/$D$142</f>
        <v>1.5643758749051891E-2</v>
      </c>
      <c r="F135" s="223">
        <v>-28208.32</v>
      </c>
      <c r="G135" s="223">
        <f>B135+D135</f>
        <v>2711375.77</v>
      </c>
      <c r="H135" s="224">
        <f>G135/$G$142</f>
        <v>0.52396355313747989</v>
      </c>
    </row>
    <row r="136" spans="1:8" x14ac:dyDescent="0.2">
      <c r="A136" s="217" t="s">
        <v>26</v>
      </c>
      <c r="B136" s="219">
        <v>537890.15</v>
      </c>
      <c r="C136" s="221">
        <f t="shared" ref="C136:C142" si="46">B136/$B$142</f>
        <v>0.13239118327194191</v>
      </c>
      <c r="D136" s="219">
        <v>126894.96</v>
      </c>
      <c r="E136" s="224">
        <f t="shared" ref="E136:E142" si="47">D136/$D$142</f>
        <v>0.11412893244763966</v>
      </c>
      <c r="F136" s="225">
        <v>-6632.03</v>
      </c>
      <c r="G136" s="223">
        <f t="shared" ref="G136:G142" si="48">B136+D136</f>
        <v>664785.11</v>
      </c>
      <c r="H136" s="224">
        <f t="shared" ref="H136:H142" si="49">G136/$G$142</f>
        <v>0.12846731617303286</v>
      </c>
    </row>
    <row r="137" spans="1:8" x14ac:dyDescent="0.2">
      <c r="A137" s="217" t="s">
        <v>27</v>
      </c>
      <c r="B137" s="219">
        <v>223800.5</v>
      </c>
      <c r="C137" s="221">
        <f t="shared" si="46"/>
        <v>5.5084133836346014E-2</v>
      </c>
      <c r="D137" s="223">
        <v>80422</v>
      </c>
      <c r="E137" s="224">
        <f t="shared" si="47"/>
        <v>7.2331296730020464E-2</v>
      </c>
      <c r="F137" s="225">
        <v>-5468.74</v>
      </c>
      <c r="G137" s="223">
        <f t="shared" si="48"/>
        <v>304222.5</v>
      </c>
      <c r="H137" s="224">
        <f t="shared" si="49"/>
        <v>5.8789896925414725E-2</v>
      </c>
    </row>
    <row r="138" spans="1:8" x14ac:dyDescent="0.2">
      <c r="A138" s="217" t="s">
        <v>28</v>
      </c>
      <c r="B138" s="219">
        <v>160017.46</v>
      </c>
      <c r="C138" s="221">
        <f t="shared" si="46"/>
        <v>3.9385180921365878E-2</v>
      </c>
      <c r="D138" s="223">
        <v>108784.89</v>
      </c>
      <c r="E138" s="224">
        <f t="shared" si="47"/>
        <v>9.7840791802400282E-2</v>
      </c>
      <c r="F138" s="225">
        <v>-7569.1</v>
      </c>
      <c r="G138" s="223">
        <f t="shared" si="48"/>
        <v>268802.34999999998</v>
      </c>
      <c r="H138" s="224">
        <f t="shared" si="49"/>
        <v>5.1945081148860629E-2</v>
      </c>
    </row>
    <row r="139" spans="1:8" x14ac:dyDescent="0.2">
      <c r="A139" s="217" t="s">
        <v>151</v>
      </c>
      <c r="B139" s="219">
        <v>84539.6</v>
      </c>
      <c r="C139" s="221">
        <f t="shared" si="46"/>
        <v>2.0807775857833909E-2</v>
      </c>
      <c r="D139" s="219">
        <v>121222.54</v>
      </c>
      <c r="E139" s="224">
        <f t="shared" si="47"/>
        <v>0.10902717553787239</v>
      </c>
      <c r="F139" s="225">
        <v>-6279.92</v>
      </c>
      <c r="G139" s="223">
        <f t="shared" si="48"/>
        <v>205762.14</v>
      </c>
      <c r="H139" s="224">
        <f t="shared" si="49"/>
        <v>3.9762788754128163E-2</v>
      </c>
    </row>
    <row r="140" spans="1:8" x14ac:dyDescent="0.2">
      <c r="A140" s="217" t="s">
        <v>152</v>
      </c>
      <c r="B140" s="219">
        <v>58199.46</v>
      </c>
      <c r="C140" s="221">
        <f t="shared" si="46"/>
        <v>1.4324663456261565E-2</v>
      </c>
      <c r="D140" s="219">
        <v>104204.28</v>
      </c>
      <c r="E140" s="224">
        <f t="shared" si="47"/>
        <v>9.3721005411680089E-2</v>
      </c>
      <c r="F140" s="225">
        <v>-6008.88</v>
      </c>
      <c r="G140" s="223">
        <f t="shared" si="48"/>
        <v>162403.74</v>
      </c>
      <c r="H140" s="224">
        <f t="shared" si="49"/>
        <v>3.1383934899298548E-2</v>
      </c>
    </row>
    <row r="141" spans="1:8" ht="13.5" thickBot="1" x14ac:dyDescent="0.25">
      <c r="A141" s="226" t="s">
        <v>153</v>
      </c>
      <c r="B141" s="227">
        <v>304455.65000000002</v>
      </c>
      <c r="C141" s="228">
        <f t="shared" si="46"/>
        <v>7.4935827988908521E-2</v>
      </c>
      <c r="D141" s="227">
        <v>552933.91</v>
      </c>
      <c r="E141" s="229">
        <f t="shared" si="47"/>
        <v>0.4973070393213353</v>
      </c>
      <c r="F141" s="230">
        <v>-38420.49</v>
      </c>
      <c r="G141" s="231">
        <f t="shared" si="48"/>
        <v>857389.56</v>
      </c>
      <c r="H141" s="229">
        <f t="shared" si="49"/>
        <v>0.16568742896178518</v>
      </c>
    </row>
    <row r="142" spans="1:8" ht="13.5" thickBot="1" x14ac:dyDescent="0.25">
      <c r="A142" s="232" t="s">
        <v>24</v>
      </c>
      <c r="B142" s="233">
        <f>SUM(B135:B141)</f>
        <v>4062884.98</v>
      </c>
      <c r="C142" s="234">
        <f t="shared" si="46"/>
        <v>1</v>
      </c>
      <c r="D142" s="233">
        <f>SUM(D135:D141)</f>
        <v>1111856.19</v>
      </c>
      <c r="E142" s="235">
        <f t="shared" si="47"/>
        <v>1</v>
      </c>
      <c r="F142" s="236">
        <f>SUM(F135:F141)</f>
        <v>-98587.479999999981</v>
      </c>
      <c r="G142" s="236">
        <f t="shared" si="48"/>
        <v>5174741.17</v>
      </c>
      <c r="H142" s="235">
        <f t="shared" si="49"/>
        <v>1</v>
      </c>
    </row>
    <row r="143" spans="1:8" x14ac:dyDescent="0.2">
      <c r="A143" s="17"/>
      <c r="B143" s="51"/>
      <c r="C143" s="633"/>
      <c r="D143" s="51"/>
      <c r="E143" s="461"/>
      <c r="F143" s="53"/>
      <c r="G143" s="53"/>
      <c r="H143" s="461"/>
    </row>
    <row r="144" spans="1:8" ht="13.5" thickBot="1" x14ac:dyDescent="0.25">
      <c r="A144" s="17"/>
      <c r="B144" s="51"/>
      <c r="C144" s="633"/>
      <c r="D144" s="51"/>
      <c r="E144" s="461"/>
      <c r="F144" s="53"/>
      <c r="G144" s="53"/>
      <c r="H144" s="461"/>
    </row>
    <row r="145" spans="1:8" ht="13.5" thickBot="1" x14ac:dyDescent="0.25">
      <c r="A145" s="22" t="s">
        <v>277</v>
      </c>
      <c r="B145" s="315"/>
      <c r="C145" s="316"/>
      <c r="D145" s="317"/>
      <c r="E145" s="317"/>
      <c r="F145" s="317"/>
      <c r="G145" s="317"/>
      <c r="H145" s="318"/>
    </row>
    <row r="146" spans="1:8" x14ac:dyDescent="0.2">
      <c r="A146" s="216" t="s">
        <v>19</v>
      </c>
      <c r="B146" s="218" t="s">
        <v>20</v>
      </c>
      <c r="C146" s="220" t="s">
        <v>21</v>
      </c>
      <c r="D146" s="222" t="s">
        <v>22</v>
      </c>
      <c r="E146" s="222" t="s">
        <v>21</v>
      </c>
      <c r="F146" s="222" t="s">
        <v>23</v>
      </c>
      <c r="G146" s="222" t="s">
        <v>24</v>
      </c>
      <c r="H146" s="222" t="s">
        <v>21</v>
      </c>
    </row>
    <row r="147" spans="1:8" x14ac:dyDescent="0.2">
      <c r="A147" s="217" t="s">
        <v>25</v>
      </c>
      <c r="B147" s="219">
        <v>2133957.94</v>
      </c>
      <c r="C147" s="221">
        <f>B147/$B$154</f>
        <v>0.62425848536413797</v>
      </c>
      <c r="D147" s="219">
        <v>64810.200000000004</v>
      </c>
      <c r="E147" s="224">
        <f>D147/$D$154</f>
        <v>5.307091428980442E-2</v>
      </c>
      <c r="F147" s="223">
        <v>-24857.63</v>
      </c>
      <c r="G147" s="223">
        <f>B147+D147</f>
        <v>2198768.14</v>
      </c>
      <c r="H147" s="224">
        <f>G147/$G$154</f>
        <v>0.47391448855586515</v>
      </c>
    </row>
    <row r="148" spans="1:8" x14ac:dyDescent="0.2">
      <c r="A148" s="217" t="s">
        <v>26</v>
      </c>
      <c r="B148" s="219">
        <v>525507.46</v>
      </c>
      <c r="C148" s="221">
        <f t="shared" ref="C148:C153" si="50">B148/$B$154</f>
        <v>0.15372959554542828</v>
      </c>
      <c r="D148" s="219">
        <v>144189.79</v>
      </c>
      <c r="E148" s="224">
        <f t="shared" ref="E148:E154" si="51">D148/$D$154</f>
        <v>0.11807221682011317</v>
      </c>
      <c r="F148" s="225">
        <v>-5271.06</v>
      </c>
      <c r="G148" s="223">
        <f t="shared" ref="G148:G154" si="52">B148+D148</f>
        <v>669697.25</v>
      </c>
      <c r="H148" s="224">
        <f t="shared" ref="H148:H154" si="53">G148/$G$154</f>
        <v>0.14434410975275427</v>
      </c>
    </row>
    <row r="149" spans="1:8" x14ac:dyDescent="0.2">
      <c r="A149" s="217" t="s">
        <v>27</v>
      </c>
      <c r="B149" s="219">
        <v>217646.75</v>
      </c>
      <c r="C149" s="221">
        <f t="shared" si="50"/>
        <v>6.3669404139908778E-2</v>
      </c>
      <c r="D149" s="223">
        <v>106677.15000000002</v>
      </c>
      <c r="E149" s="224">
        <f t="shared" si="51"/>
        <v>8.7354365274765561E-2</v>
      </c>
      <c r="F149" s="225">
        <v>-4532.45</v>
      </c>
      <c r="G149" s="223">
        <f t="shared" si="52"/>
        <v>324323.90000000002</v>
      </c>
      <c r="H149" s="224">
        <f t="shared" si="53"/>
        <v>6.9903593925525753E-2</v>
      </c>
    </row>
    <row r="150" spans="1:8" x14ac:dyDescent="0.2">
      <c r="A150" s="217" t="s">
        <v>28</v>
      </c>
      <c r="B150" s="219">
        <v>128393.64</v>
      </c>
      <c r="C150" s="221">
        <f t="shared" si="50"/>
        <v>3.7559699624064947E-2</v>
      </c>
      <c r="D150" s="223">
        <v>116656.1</v>
      </c>
      <c r="E150" s="224">
        <f t="shared" si="51"/>
        <v>9.5525795082916781E-2</v>
      </c>
      <c r="F150" s="225">
        <v>-5321.74</v>
      </c>
      <c r="G150" s="223">
        <f t="shared" si="52"/>
        <v>245049.74</v>
      </c>
      <c r="H150" s="224">
        <f t="shared" si="53"/>
        <v>5.2817129778334755E-2</v>
      </c>
    </row>
    <row r="151" spans="1:8" x14ac:dyDescent="0.2">
      <c r="A151" s="217" t="s">
        <v>151</v>
      </c>
      <c r="B151" s="219">
        <v>66920.97</v>
      </c>
      <c r="C151" s="221">
        <f t="shared" si="50"/>
        <v>1.9576760435727671E-2</v>
      </c>
      <c r="D151" s="219">
        <v>112246.40000000001</v>
      </c>
      <c r="E151" s="224">
        <f t="shared" si="51"/>
        <v>9.1914838617055697E-2</v>
      </c>
      <c r="F151" s="225">
        <v>-3164.55</v>
      </c>
      <c r="G151" s="223">
        <f t="shared" si="52"/>
        <v>179167.37</v>
      </c>
      <c r="H151" s="224">
        <f t="shared" si="53"/>
        <v>3.8617083345336013E-2</v>
      </c>
    </row>
    <row r="152" spans="1:8" x14ac:dyDescent="0.2">
      <c r="A152" s="217" t="s">
        <v>152</v>
      </c>
      <c r="B152" s="219">
        <v>62861.08</v>
      </c>
      <c r="C152" s="221">
        <f t="shared" si="50"/>
        <v>1.8389098422977312E-2</v>
      </c>
      <c r="D152" s="219">
        <v>96799.26999999999</v>
      </c>
      <c r="E152" s="224">
        <f t="shared" si="51"/>
        <v>7.9265698323499015E-2</v>
      </c>
      <c r="F152" s="225">
        <v>-3388.84</v>
      </c>
      <c r="G152" s="223">
        <f t="shared" si="52"/>
        <v>159660.34999999998</v>
      </c>
      <c r="H152" s="224">
        <f t="shared" si="53"/>
        <v>3.4412611196422201E-2</v>
      </c>
    </row>
    <row r="153" spans="1:8" ht="13.5" thickBot="1" x14ac:dyDescent="0.25">
      <c r="A153" s="226" t="s">
        <v>153</v>
      </c>
      <c r="B153" s="227">
        <v>283100.52</v>
      </c>
      <c r="C153" s="228">
        <f t="shared" si="50"/>
        <v>8.2816956467754874E-2</v>
      </c>
      <c r="D153" s="227">
        <v>579821.07999999973</v>
      </c>
      <c r="E153" s="229">
        <f t="shared" si="51"/>
        <v>0.47479617159184534</v>
      </c>
      <c r="F153" s="230">
        <v>-30027.57</v>
      </c>
      <c r="G153" s="231">
        <f t="shared" si="52"/>
        <v>862921.59999999974</v>
      </c>
      <c r="H153" s="229">
        <f t="shared" si="53"/>
        <v>0.1859909834457619</v>
      </c>
    </row>
    <row r="154" spans="1:8" ht="13.5" thickBot="1" x14ac:dyDescent="0.25">
      <c r="A154" s="232" t="s">
        <v>24</v>
      </c>
      <c r="B154" s="233">
        <f>SUM(B147:B153)</f>
        <v>3418388.3600000003</v>
      </c>
      <c r="C154" s="234">
        <f>B154/$B$154</f>
        <v>1</v>
      </c>
      <c r="D154" s="233">
        <f>SUM(D147:D153)</f>
        <v>1221199.9899999998</v>
      </c>
      <c r="E154" s="235">
        <f t="shared" si="51"/>
        <v>1</v>
      </c>
      <c r="F154" s="236">
        <f>SUM(F147:F153)</f>
        <v>-76563.839999999997</v>
      </c>
      <c r="G154" s="236">
        <f t="shared" si="52"/>
        <v>4639588.3499999996</v>
      </c>
      <c r="H154" s="235">
        <f t="shared" si="53"/>
        <v>1</v>
      </c>
    </row>
    <row r="155" spans="1:8" x14ac:dyDescent="0.2">
      <c r="A155" s="17"/>
      <c r="B155" s="51"/>
      <c r="C155" s="633"/>
      <c r="D155" s="51"/>
      <c r="E155" s="461"/>
      <c r="F155" s="53"/>
      <c r="G155" s="53"/>
      <c r="H155" s="461"/>
    </row>
    <row r="156" spans="1:8" x14ac:dyDescent="0.2">
      <c r="A156" s="17"/>
      <c r="B156" s="51"/>
      <c r="C156" s="633"/>
      <c r="D156" s="51"/>
      <c r="E156" s="461"/>
      <c r="F156" s="53"/>
      <c r="G156" s="53"/>
      <c r="H156" s="461"/>
    </row>
    <row r="157" spans="1:8" ht="13.5" thickBot="1" x14ac:dyDescent="0.25">
      <c r="A157" s="669" t="s">
        <v>263</v>
      </c>
      <c r="B157" s="673"/>
      <c r="C157" s="674"/>
      <c r="D157" s="675"/>
      <c r="E157" s="675"/>
      <c r="F157" s="675"/>
      <c r="G157" s="675"/>
      <c r="H157" s="675"/>
    </row>
    <row r="158" spans="1:8" x14ac:dyDescent="0.2">
      <c r="A158" s="216" t="s">
        <v>19</v>
      </c>
      <c r="B158" s="670" t="s">
        <v>20</v>
      </c>
      <c r="C158" s="671" t="s">
        <v>21</v>
      </c>
      <c r="D158" s="672" t="s">
        <v>22</v>
      </c>
      <c r="E158" s="672" t="s">
        <v>21</v>
      </c>
      <c r="F158" s="672" t="s">
        <v>23</v>
      </c>
      <c r="G158" s="672" t="s">
        <v>24</v>
      </c>
      <c r="H158" s="672" t="s">
        <v>21</v>
      </c>
    </row>
    <row r="159" spans="1:8" x14ac:dyDescent="0.2">
      <c r="A159" s="217" t="s">
        <v>25</v>
      </c>
      <c r="B159" s="219">
        <v>2422555.7499999991</v>
      </c>
      <c r="C159" s="221">
        <f>B159/$B$166</f>
        <v>0.61289856781108032</v>
      </c>
      <c r="D159" s="219">
        <v>84358.94</v>
      </c>
      <c r="E159" s="224">
        <f>D159/$D$166</f>
        <v>2.9141148741038368E-2</v>
      </c>
      <c r="F159" s="223">
        <v>-24857.63</v>
      </c>
      <c r="G159" s="223">
        <f>B159+D159</f>
        <v>2506914.689999999</v>
      </c>
      <c r="H159" s="224">
        <f>G159/$G$166</f>
        <v>0.36610869039281346</v>
      </c>
    </row>
    <row r="160" spans="1:8" x14ac:dyDescent="0.2">
      <c r="A160" s="217" t="s">
        <v>26</v>
      </c>
      <c r="B160" s="219">
        <v>744459.69999999984</v>
      </c>
      <c r="C160" s="221">
        <f t="shared" ref="C160:C166" si="54">B160/$B$166</f>
        <v>0.18834583432107457</v>
      </c>
      <c r="D160" s="219">
        <v>181810.00000000003</v>
      </c>
      <c r="E160" s="224">
        <f t="shared" ref="E160:E165" si="55">D160/$D$166</f>
        <v>6.280486991192856E-2</v>
      </c>
      <c r="F160" s="225">
        <v>-5271.0599999999995</v>
      </c>
      <c r="G160" s="223">
        <f t="shared" ref="G160:G166" si="56">B160+D160</f>
        <v>926269.69999999984</v>
      </c>
      <c r="H160" s="224">
        <f t="shared" ref="H160:H165" si="57">G160/$G$166</f>
        <v>0.1352720091235112</v>
      </c>
    </row>
    <row r="161" spans="1:8" x14ac:dyDescent="0.2">
      <c r="A161" s="217" t="s">
        <v>27</v>
      </c>
      <c r="B161" s="219">
        <v>236694.43000000002</v>
      </c>
      <c r="C161" s="221">
        <f t="shared" si="54"/>
        <v>5.9882905545459608E-2</v>
      </c>
      <c r="D161" s="223">
        <v>191022.89</v>
      </c>
      <c r="E161" s="224">
        <f t="shared" si="55"/>
        <v>6.5987392094222747E-2</v>
      </c>
      <c r="F161" s="225">
        <v>-4532.4500000000007</v>
      </c>
      <c r="G161" s="223">
        <f t="shared" si="56"/>
        <v>427717.32000000007</v>
      </c>
      <c r="H161" s="224">
        <f t="shared" si="57"/>
        <v>6.2463644458329776E-2</v>
      </c>
    </row>
    <row r="162" spans="1:8" x14ac:dyDescent="0.2">
      <c r="A162" s="217" t="s">
        <v>28</v>
      </c>
      <c r="B162" s="219">
        <v>114030.73000000001</v>
      </c>
      <c r="C162" s="221">
        <f t="shared" si="54"/>
        <v>2.884939638786518E-2</v>
      </c>
      <c r="D162" s="223">
        <v>122651.66</v>
      </c>
      <c r="E162" s="224">
        <f t="shared" si="55"/>
        <v>4.2369075137682691E-2</v>
      </c>
      <c r="F162" s="225">
        <v>-5321.74</v>
      </c>
      <c r="G162" s="223">
        <f t="shared" si="56"/>
        <v>236682.39</v>
      </c>
      <c r="H162" s="224">
        <f t="shared" si="57"/>
        <v>3.4564989461983317E-2</v>
      </c>
    </row>
    <row r="163" spans="1:8" x14ac:dyDescent="0.2">
      <c r="A163" s="217" t="s">
        <v>151</v>
      </c>
      <c r="B163" s="219">
        <v>82308.92</v>
      </c>
      <c r="C163" s="221">
        <f t="shared" si="54"/>
        <v>2.0823883696413095E-2</v>
      </c>
      <c r="D163" s="219">
        <v>110705.12999999999</v>
      </c>
      <c r="E163" s="224">
        <f t="shared" si="55"/>
        <v>3.8242237985991627E-2</v>
      </c>
      <c r="F163" s="225">
        <v>-3164.55</v>
      </c>
      <c r="G163" s="223">
        <f t="shared" si="56"/>
        <v>193014.05</v>
      </c>
      <c r="H163" s="224">
        <f t="shared" si="57"/>
        <v>2.8187684788313655E-2</v>
      </c>
    </row>
    <row r="164" spans="1:8" x14ac:dyDescent="0.2">
      <c r="A164" s="217" t="s">
        <v>152</v>
      </c>
      <c r="B164" s="219">
        <v>75010.569999999992</v>
      </c>
      <c r="C164" s="221">
        <f t="shared" si="54"/>
        <v>1.8977425359021274E-2</v>
      </c>
      <c r="D164" s="219">
        <v>113789.20000000001</v>
      </c>
      <c r="E164" s="224">
        <f t="shared" si="55"/>
        <v>3.9307606310887304E-2</v>
      </c>
      <c r="F164" s="225">
        <v>-3388.84</v>
      </c>
      <c r="G164" s="223">
        <f t="shared" si="56"/>
        <v>188799.77000000002</v>
      </c>
      <c r="H164" s="224">
        <f t="shared" si="57"/>
        <v>2.7572233238285594E-2</v>
      </c>
    </row>
    <row r="165" spans="1:8" ht="13.5" thickBot="1" x14ac:dyDescent="0.25">
      <c r="A165" s="226" t="s">
        <v>153</v>
      </c>
      <c r="B165" s="227">
        <v>277560.90000000008</v>
      </c>
      <c r="C165" s="228">
        <f t="shared" si="54"/>
        <v>7.0221986879086096E-2</v>
      </c>
      <c r="D165" s="227">
        <v>2090501.39</v>
      </c>
      <c r="E165" s="229">
        <f t="shared" si="55"/>
        <v>0.72214766981824874</v>
      </c>
      <c r="F165" s="230">
        <v>-30027.57</v>
      </c>
      <c r="G165" s="231">
        <f t="shared" si="56"/>
        <v>2368062.29</v>
      </c>
      <c r="H165" s="229">
        <f t="shared" si="57"/>
        <v>0.34583074853676299</v>
      </c>
    </row>
    <row r="166" spans="1:8" ht="13.5" thickBot="1" x14ac:dyDescent="0.25">
      <c r="A166" s="232" t="s">
        <v>24</v>
      </c>
      <c r="B166" s="233">
        <f>SUM(B159:B165)</f>
        <v>3952620.9999999986</v>
      </c>
      <c r="C166" s="234">
        <f t="shared" si="54"/>
        <v>1</v>
      </c>
      <c r="D166" s="233">
        <f>SUM(D159:D165)</f>
        <v>2894839.21</v>
      </c>
      <c r="E166" s="235">
        <v>1</v>
      </c>
      <c r="F166" s="236">
        <f>SUM(F159:F165)</f>
        <v>-76563.839999999997</v>
      </c>
      <c r="G166" s="236">
        <f t="shared" si="56"/>
        <v>6847460.209999999</v>
      </c>
      <c r="H166" s="235">
        <f>G166/$G$166</f>
        <v>1</v>
      </c>
    </row>
    <row r="167" spans="1:8" x14ac:dyDescent="0.2">
      <c r="A167" s="17"/>
      <c r="B167" s="51"/>
      <c r="C167" s="633"/>
      <c r="D167" s="51"/>
      <c r="E167" s="461"/>
      <c r="F167" s="53"/>
      <c r="G167" s="53"/>
      <c r="H167" s="461"/>
    </row>
    <row r="168" spans="1:8" ht="13.5" thickBot="1" x14ac:dyDescent="0.25">
      <c r="A168" s="22" t="s">
        <v>145</v>
      </c>
    </row>
    <row r="169" spans="1:8" x14ac:dyDescent="0.2">
      <c r="A169" s="216" t="s">
        <v>19</v>
      </c>
      <c r="B169" s="218" t="s">
        <v>20</v>
      </c>
      <c r="C169" s="220" t="s">
        <v>21</v>
      </c>
      <c r="D169" s="222" t="s">
        <v>22</v>
      </c>
      <c r="E169" s="222" t="s">
        <v>21</v>
      </c>
      <c r="F169" s="222" t="s">
        <v>23</v>
      </c>
      <c r="G169" s="222" t="s">
        <v>24</v>
      </c>
      <c r="H169" s="222" t="s">
        <v>21</v>
      </c>
    </row>
    <row r="170" spans="1:8" x14ac:dyDescent="0.2">
      <c r="A170" s="217" t="s">
        <v>25</v>
      </c>
      <c r="B170" s="219">
        <v>2302980.6099999994</v>
      </c>
      <c r="C170" s="221">
        <f>B170/B175</f>
        <v>0.64289686652918487</v>
      </c>
      <c r="D170" s="219">
        <v>71539.260000000009</v>
      </c>
      <c r="E170" s="224">
        <f>D170/$D175</f>
        <v>2.5005323385720857E-2</v>
      </c>
      <c r="F170" s="223">
        <v>-63779.719999999994</v>
      </c>
      <c r="G170" s="223">
        <f>B170+D170</f>
        <v>2374519.8699999992</v>
      </c>
      <c r="H170" s="224">
        <f>G170/$G$171</f>
        <v>2.9535853389952456</v>
      </c>
    </row>
    <row r="171" spans="1:8" x14ac:dyDescent="0.2">
      <c r="A171" s="217" t="s">
        <v>26</v>
      </c>
      <c r="B171" s="219">
        <v>555634.78</v>
      </c>
      <c r="C171" s="221">
        <f>B171/B175</f>
        <v>0.15511023299350885</v>
      </c>
      <c r="D171" s="219">
        <v>248310.12000000005</v>
      </c>
      <c r="E171" s="224">
        <f>D171/$D175</f>
        <v>8.679255069939433E-2</v>
      </c>
      <c r="F171" s="225">
        <v>-23553.71</v>
      </c>
      <c r="G171" s="223">
        <f>B171+D171</f>
        <v>803944.90000000014</v>
      </c>
      <c r="H171" s="224">
        <f>G171/$G175</f>
        <v>0.1247750533014178</v>
      </c>
    </row>
    <row r="172" spans="1:8" x14ac:dyDescent="0.2">
      <c r="A172" s="217" t="s">
        <v>27</v>
      </c>
      <c r="B172" s="219">
        <v>186211.29000000004</v>
      </c>
      <c r="C172" s="221">
        <f>B172/B175</f>
        <v>5.1982484929978368E-2</v>
      </c>
      <c r="D172" s="223">
        <v>149154.63</v>
      </c>
      <c r="E172" s="224">
        <f>D172/$D175</f>
        <v>5.213444698236383E-2</v>
      </c>
      <c r="F172" s="225">
        <v>-8438.369999999999</v>
      </c>
      <c r="G172" s="223">
        <f>B172+D172</f>
        <v>335365.92000000004</v>
      </c>
      <c r="H172" s="224">
        <f>G172/$G175</f>
        <v>5.2049960816318401E-2</v>
      </c>
    </row>
    <row r="173" spans="1:8" x14ac:dyDescent="0.2">
      <c r="A173" s="217" t="s">
        <v>28</v>
      </c>
      <c r="B173" s="219">
        <v>120148.89000000001</v>
      </c>
      <c r="C173" s="221">
        <f>B173/B175</f>
        <v>3.3540597155943812E-2</v>
      </c>
      <c r="D173" s="223">
        <v>133268.76999999999</v>
      </c>
      <c r="E173" s="224">
        <f>D173/$D175</f>
        <v>4.6581816628621174E-2</v>
      </c>
      <c r="F173" s="225">
        <v>-3153.33</v>
      </c>
      <c r="G173" s="223">
        <f>B173+D173</f>
        <v>253417.66</v>
      </c>
      <c r="H173" s="224">
        <f>G173/$G175</f>
        <v>3.9331304961348186E-2</v>
      </c>
    </row>
    <row r="174" spans="1:8" ht="13.5" thickBot="1" x14ac:dyDescent="0.25">
      <c r="A174" s="226" t="s">
        <v>29</v>
      </c>
      <c r="B174" s="227">
        <v>417217.36</v>
      </c>
      <c r="C174" s="221">
        <f>B174/B175</f>
        <v>0.11646981839138408</v>
      </c>
      <c r="D174" s="227">
        <v>2258688.42</v>
      </c>
      <c r="E174" s="229">
        <f>D174/$D175</f>
        <v>0.78948586230389972</v>
      </c>
      <c r="F174" s="230">
        <v>-37037.980000000003</v>
      </c>
      <c r="G174" s="231">
        <f>B174+D174</f>
        <v>2675905.7799999998</v>
      </c>
      <c r="H174" s="229">
        <f>G174/$G175</f>
        <v>0.41530991281749768</v>
      </c>
    </row>
    <row r="175" spans="1:8" ht="13.5" thickBot="1" x14ac:dyDescent="0.25">
      <c r="A175" s="232" t="s">
        <v>24</v>
      </c>
      <c r="B175" s="233">
        <f>SUM(B170:B174)</f>
        <v>3582192.9299999997</v>
      </c>
      <c r="C175" s="234">
        <f>B175/B175</f>
        <v>1</v>
      </c>
      <c r="D175" s="233">
        <f>SUM(D170:D174)</f>
        <v>2860961.2</v>
      </c>
      <c r="E175" s="235">
        <f>D175/D175</f>
        <v>1</v>
      </c>
      <c r="F175" s="236">
        <f>SUM(F170:F174)</f>
        <v>-135963.10999999999</v>
      </c>
      <c r="G175" s="233">
        <f>SUM(G170:G174)</f>
        <v>6443154.129999999</v>
      </c>
      <c r="H175" s="235">
        <f>G175/G175</f>
        <v>1</v>
      </c>
    </row>
    <row r="176" spans="1:8" x14ac:dyDescent="0.2">
      <c r="A176" s="17"/>
      <c r="B176" s="51"/>
      <c r="C176" s="633"/>
      <c r="D176" s="51"/>
      <c r="E176" s="461"/>
      <c r="F176" s="53"/>
      <c r="G176" s="53"/>
      <c r="H176" s="461"/>
    </row>
    <row r="177" spans="1:8" ht="13.5" thickBot="1" x14ac:dyDescent="0.25">
      <c r="A177" s="22" t="s">
        <v>144</v>
      </c>
    </row>
    <row r="178" spans="1:8" x14ac:dyDescent="0.2">
      <c r="A178" s="216" t="s">
        <v>19</v>
      </c>
      <c r="B178" s="218" t="s">
        <v>20</v>
      </c>
      <c r="C178" s="220" t="s">
        <v>21</v>
      </c>
      <c r="D178" s="222" t="s">
        <v>22</v>
      </c>
      <c r="E178" s="222" t="s">
        <v>21</v>
      </c>
      <c r="F178" s="222" t="s">
        <v>23</v>
      </c>
      <c r="G178" s="222" t="s">
        <v>24</v>
      </c>
      <c r="H178" s="222" t="s">
        <v>21</v>
      </c>
    </row>
    <row r="179" spans="1:8" x14ac:dyDescent="0.2">
      <c r="A179" s="217" t="s">
        <v>25</v>
      </c>
      <c r="B179" s="219">
        <v>2024243.48</v>
      </c>
      <c r="C179" s="221">
        <f>B179/B184</f>
        <v>0.62990823518306593</v>
      </c>
      <c r="D179" s="219">
        <v>100948.55</v>
      </c>
      <c r="E179" s="224">
        <f>D179/$D184</f>
        <v>3.5526653872195196E-2</v>
      </c>
      <c r="F179" s="223">
        <v>-49630.52</v>
      </c>
      <c r="G179" s="223">
        <f>B179+D179</f>
        <v>2125192.0299999998</v>
      </c>
      <c r="H179" s="224">
        <f>G179/$G$184</f>
        <v>0.35097898524932614</v>
      </c>
    </row>
    <row r="180" spans="1:8" x14ac:dyDescent="0.2">
      <c r="A180" s="217" t="s">
        <v>26</v>
      </c>
      <c r="B180" s="219">
        <v>481328.00999999995</v>
      </c>
      <c r="C180" s="221">
        <f>B180/B184</f>
        <v>0.14978063672620898</v>
      </c>
      <c r="D180" s="219">
        <v>210470.51</v>
      </c>
      <c r="E180" s="224">
        <f>D180/$D184</f>
        <v>7.4070533544804723E-2</v>
      </c>
      <c r="F180" s="225">
        <v>-31065.74</v>
      </c>
      <c r="G180" s="223">
        <f>B180+D180</f>
        <v>691798.52</v>
      </c>
      <c r="H180" s="224">
        <f>G180/$G184</f>
        <v>0.11425167190495518</v>
      </c>
    </row>
    <row r="181" spans="1:8" x14ac:dyDescent="0.2">
      <c r="A181" s="217" t="s">
        <v>27</v>
      </c>
      <c r="B181" s="219">
        <v>193557.69999999998</v>
      </c>
      <c r="C181" s="221">
        <f>B181/B184</f>
        <v>6.0231681819764737E-2</v>
      </c>
      <c r="D181" s="223">
        <v>182570.69999999998</v>
      </c>
      <c r="E181" s="224">
        <f>D181/$D184</f>
        <v>6.4251800210150478E-2</v>
      </c>
      <c r="F181" s="225">
        <v>-5917.1999999999989</v>
      </c>
      <c r="G181" s="223">
        <f>B181+D181</f>
        <v>376128.39999999997</v>
      </c>
      <c r="H181" s="224">
        <f>G181/$G184</f>
        <v>6.2118228513896999E-2</v>
      </c>
    </row>
    <row r="182" spans="1:8" x14ac:dyDescent="0.2">
      <c r="A182" s="217" t="s">
        <v>28</v>
      </c>
      <c r="B182" s="219">
        <v>119632.40999999999</v>
      </c>
      <c r="C182" s="221">
        <f>B182/B184</f>
        <v>3.7227458553452747E-2</v>
      </c>
      <c r="D182" s="223">
        <v>151673.14000000001</v>
      </c>
      <c r="E182" s="224">
        <f>D182/$D184</f>
        <v>5.3378073746368861E-2</v>
      </c>
      <c r="F182" s="225">
        <v>-4888.12</v>
      </c>
      <c r="G182" s="223">
        <f>B182+D182</f>
        <v>271305.55</v>
      </c>
      <c r="H182" s="224">
        <f>G182/$G184</f>
        <v>4.4806561142387832E-2</v>
      </c>
    </row>
    <row r="183" spans="1:8" ht="13.5" thickBot="1" x14ac:dyDescent="0.25">
      <c r="A183" s="226" t="s">
        <v>29</v>
      </c>
      <c r="B183" s="227">
        <v>394791.37</v>
      </c>
      <c r="C183" s="221">
        <f>B183/B184</f>
        <v>0.12285198771750756</v>
      </c>
      <c r="D183" s="227">
        <v>2195824.7999999998</v>
      </c>
      <c r="E183" s="229">
        <f>D183/$D184</f>
        <v>0.77277293862648078</v>
      </c>
      <c r="F183" s="230">
        <v>-34251.910000000003</v>
      </c>
      <c r="G183" s="231">
        <f>B183+D183</f>
        <v>2590616.17</v>
      </c>
      <c r="H183" s="229">
        <f>G183/$G184</f>
        <v>0.42784455318943382</v>
      </c>
    </row>
    <row r="184" spans="1:8" ht="13.5" thickBot="1" x14ac:dyDescent="0.25">
      <c r="A184" s="232" t="s">
        <v>24</v>
      </c>
      <c r="B184" s="233">
        <f>SUM(B179:B183)</f>
        <v>3213552.97</v>
      </c>
      <c r="C184" s="234">
        <f>B184/B184</f>
        <v>1</v>
      </c>
      <c r="D184" s="233">
        <f>SUM(D179:D183)</f>
        <v>2841487.6999999997</v>
      </c>
      <c r="E184" s="235">
        <f>D184/D184</f>
        <v>1</v>
      </c>
      <c r="F184" s="236">
        <f>SUM(F179:F183)</f>
        <v>-125753.48999999999</v>
      </c>
      <c r="G184" s="233">
        <f>SUM(G179:G183)</f>
        <v>6055040.6699999999</v>
      </c>
      <c r="H184" s="235">
        <f>G184/G184</f>
        <v>1</v>
      </c>
    </row>
    <row r="186" spans="1:8" ht="13.5" thickBot="1" x14ac:dyDescent="0.25">
      <c r="A186" s="22" t="s">
        <v>138</v>
      </c>
    </row>
    <row r="187" spans="1:8" x14ac:dyDescent="0.2">
      <c r="A187" s="216" t="s">
        <v>19</v>
      </c>
      <c r="B187" s="218" t="s">
        <v>20</v>
      </c>
      <c r="C187" s="220" t="s">
        <v>21</v>
      </c>
      <c r="D187" s="222" t="s">
        <v>22</v>
      </c>
      <c r="E187" s="222" t="s">
        <v>21</v>
      </c>
      <c r="F187" s="222" t="s">
        <v>23</v>
      </c>
      <c r="G187" s="222" t="s">
        <v>24</v>
      </c>
      <c r="H187" s="222" t="s">
        <v>21</v>
      </c>
    </row>
    <row r="188" spans="1:8" x14ac:dyDescent="0.2">
      <c r="A188" s="217" t="s">
        <v>25</v>
      </c>
      <c r="B188" s="219">
        <v>2150157.4300000002</v>
      </c>
      <c r="C188" s="221">
        <f>B188/$B$193</f>
        <v>0.64600125851660628</v>
      </c>
      <c r="D188" s="219">
        <v>73690.510000000009</v>
      </c>
      <c r="E188" s="224">
        <f>D188/$D$193</f>
        <v>2.696140346491847E-2</v>
      </c>
      <c r="F188" s="223">
        <v>-40771.119999999995</v>
      </c>
      <c r="G188" s="223">
        <f>B188+D188</f>
        <v>2223847.9400000004</v>
      </c>
      <c r="H188" s="224">
        <f>G188/$G$193</f>
        <v>0.3668749950291556</v>
      </c>
    </row>
    <row r="189" spans="1:8" x14ac:dyDescent="0.2">
      <c r="A189" s="217" t="s">
        <v>26</v>
      </c>
      <c r="B189" s="219">
        <v>480958.9599999999</v>
      </c>
      <c r="C189" s="221">
        <f t="shared" ref="C189:C193" si="58">B189/$B$193</f>
        <v>0.14450109053402568</v>
      </c>
      <c r="D189" s="219">
        <v>196975.60999999996</v>
      </c>
      <c r="E189" s="224">
        <f t="shared" ref="E189:E193" si="59">D189/$D$193</f>
        <v>7.2068152248619621E-2</v>
      </c>
      <c r="F189" s="225">
        <v>-54567.259999999995</v>
      </c>
      <c r="G189" s="223">
        <f>B189+D189</f>
        <v>677934.56999999983</v>
      </c>
      <c r="H189" s="224">
        <f t="shared" ref="H189:H193" si="60">G189/$G$193</f>
        <v>0.11184093908814766</v>
      </c>
    </row>
    <row r="190" spans="1:8" x14ac:dyDescent="0.2">
      <c r="A190" s="217" t="s">
        <v>27</v>
      </c>
      <c r="B190" s="219">
        <v>206449.41000000006</v>
      </c>
      <c r="C190" s="221">
        <f t="shared" si="58"/>
        <v>6.2026425051123289E-2</v>
      </c>
      <c r="D190" s="223">
        <v>178837.72999999992</v>
      </c>
      <c r="E190" s="224">
        <f t="shared" si="59"/>
        <v>6.5431982941631842E-2</v>
      </c>
      <c r="F190" s="225">
        <v>-15011.280000000002</v>
      </c>
      <c r="G190" s="223">
        <f>B190+D190</f>
        <v>385287.14</v>
      </c>
      <c r="H190" s="224">
        <f t="shared" si="60"/>
        <v>6.3561997666215231E-2</v>
      </c>
    </row>
    <row r="191" spans="1:8" x14ac:dyDescent="0.2">
      <c r="A191" s="217" t="s">
        <v>28</v>
      </c>
      <c r="B191" s="219">
        <v>149287.37000000002</v>
      </c>
      <c r="C191" s="221">
        <f t="shared" si="58"/>
        <v>4.4852450129958275E-2</v>
      </c>
      <c r="D191" s="223">
        <v>159465.41</v>
      </c>
      <c r="E191" s="224">
        <f t="shared" si="59"/>
        <v>5.834416477384461E-2</v>
      </c>
      <c r="F191" s="225">
        <v>-4348.2299999999996</v>
      </c>
      <c r="G191" s="223">
        <f>B191+D191</f>
        <v>308752.78000000003</v>
      </c>
      <c r="H191" s="224">
        <f t="shared" si="60"/>
        <v>5.0935890260436587E-2</v>
      </c>
    </row>
    <row r="192" spans="1:8" ht="13.5" thickBot="1" x14ac:dyDescent="0.25">
      <c r="A192" s="226" t="s">
        <v>29</v>
      </c>
      <c r="B192" s="227">
        <v>341557.42</v>
      </c>
      <c r="C192" s="228">
        <f t="shared" si="58"/>
        <v>0.10261877576828643</v>
      </c>
      <c r="D192" s="227">
        <v>2124215.98</v>
      </c>
      <c r="E192" s="229">
        <f t="shared" si="59"/>
        <v>0.77719429657098549</v>
      </c>
      <c r="F192" s="230">
        <v>-33522.160000000003</v>
      </c>
      <c r="G192" s="231">
        <f>B192+D192</f>
        <v>2465773.4</v>
      </c>
      <c r="H192" s="229">
        <f t="shared" si="60"/>
        <v>0.40678617795604494</v>
      </c>
    </row>
    <row r="193" spans="1:8" ht="13.5" thickBot="1" x14ac:dyDescent="0.25">
      <c r="A193" s="232" t="s">
        <v>24</v>
      </c>
      <c r="B193" s="233">
        <f>SUM(B188:B192)</f>
        <v>3328410.5900000003</v>
      </c>
      <c r="C193" s="234">
        <f t="shared" si="58"/>
        <v>1</v>
      </c>
      <c r="D193" s="233">
        <f>SUM(D188:D192)</f>
        <v>2733185.2399999998</v>
      </c>
      <c r="E193" s="235">
        <f t="shared" si="59"/>
        <v>1</v>
      </c>
      <c r="F193" s="236">
        <f>SUM(F188:F192)</f>
        <v>-148220.04999999999</v>
      </c>
      <c r="G193" s="233">
        <f>SUM(G188:G192)</f>
        <v>6061595.8300000001</v>
      </c>
      <c r="H193" s="235">
        <f t="shared" si="60"/>
        <v>1</v>
      </c>
    </row>
    <row r="194" spans="1:8" x14ac:dyDescent="0.2">
      <c r="A194" s="17"/>
      <c r="B194" s="51"/>
      <c r="C194" s="138"/>
      <c r="D194" s="51"/>
      <c r="E194" s="52"/>
      <c r="F194" s="53"/>
      <c r="G194" s="51"/>
      <c r="H194" s="52"/>
    </row>
    <row r="195" spans="1:8" ht="13.5" thickBot="1" x14ac:dyDescent="0.25">
      <c r="A195" s="22" t="s">
        <v>132</v>
      </c>
    </row>
    <row r="196" spans="1:8" ht="13.5" thickBot="1" x14ac:dyDescent="0.25">
      <c r="A196" s="23" t="s">
        <v>19</v>
      </c>
      <c r="B196" s="24" t="s">
        <v>20</v>
      </c>
      <c r="C196" s="133" t="s">
        <v>21</v>
      </c>
      <c r="D196" s="25" t="s">
        <v>22</v>
      </c>
      <c r="E196" s="26" t="s">
        <v>21</v>
      </c>
      <c r="F196" s="27" t="s">
        <v>23</v>
      </c>
      <c r="G196" s="25" t="s">
        <v>24</v>
      </c>
      <c r="H196" s="25" t="s">
        <v>21</v>
      </c>
    </row>
    <row r="197" spans="1:8" x14ac:dyDescent="0.2">
      <c r="A197" s="28" t="s">
        <v>25</v>
      </c>
      <c r="B197" s="29">
        <v>2048568.39</v>
      </c>
      <c r="C197" s="135">
        <f t="shared" ref="C197:C202" si="61">B197/$B$202</f>
        <v>0.6445154708138765</v>
      </c>
      <c r="D197" s="31">
        <v>93265.81</v>
      </c>
      <c r="E197" s="30">
        <f>D197/$D$202</f>
        <v>3.5129458132560139E-2</v>
      </c>
      <c r="F197" s="32">
        <v>-41358.269999999997</v>
      </c>
      <c r="G197" s="33">
        <f>B197+D197</f>
        <v>2141834.1999999997</v>
      </c>
      <c r="H197" s="34">
        <f t="shared" ref="H197:H201" si="62">G197/$G$211</f>
        <v>0.38853039720737703</v>
      </c>
    </row>
    <row r="198" spans="1:8" x14ac:dyDescent="0.2">
      <c r="A198" s="35" t="s">
        <v>26</v>
      </c>
      <c r="B198" s="36">
        <v>493929.27</v>
      </c>
      <c r="C198" s="135">
        <f t="shared" si="61"/>
        <v>0.15539879339971871</v>
      </c>
      <c r="D198" s="29">
        <v>197849.69</v>
      </c>
      <c r="E198" s="30">
        <f t="shared" ref="E198:E202" si="63">D198/$D$202</f>
        <v>7.4521975431243268E-2</v>
      </c>
      <c r="F198" s="38">
        <v>-44343.93</v>
      </c>
      <c r="G198" s="33">
        <f>B198+D198</f>
        <v>691778.96</v>
      </c>
      <c r="H198" s="34">
        <f t="shared" si="62"/>
        <v>0.12548924380258109</v>
      </c>
    </row>
    <row r="199" spans="1:8" x14ac:dyDescent="0.2">
      <c r="A199" s="35" t="s">
        <v>27</v>
      </c>
      <c r="B199" s="36">
        <v>212288.91</v>
      </c>
      <c r="C199" s="135">
        <f t="shared" si="61"/>
        <v>6.6789806698723239E-2</v>
      </c>
      <c r="D199" s="33">
        <v>187237.75</v>
      </c>
      <c r="E199" s="30">
        <f t="shared" si="63"/>
        <v>7.0524886873976234E-2</v>
      </c>
      <c r="F199" s="38">
        <v>-10062.92</v>
      </c>
      <c r="G199" s="33">
        <f>B199+D199</f>
        <v>399526.66000000003</v>
      </c>
      <c r="H199" s="34">
        <f t="shared" si="62"/>
        <v>7.2474448257823454E-2</v>
      </c>
    </row>
    <row r="200" spans="1:8" x14ac:dyDescent="0.2">
      <c r="A200" s="35" t="s">
        <v>28</v>
      </c>
      <c r="B200" s="36">
        <v>115851.9</v>
      </c>
      <c r="C200" s="135">
        <f t="shared" si="61"/>
        <v>3.6449035452110118E-2</v>
      </c>
      <c r="D200" s="33">
        <v>145371.64000000001</v>
      </c>
      <c r="E200" s="30">
        <f t="shared" si="63"/>
        <v>5.4755616672836543E-2</v>
      </c>
      <c r="F200" s="38">
        <v>-4068.27</v>
      </c>
      <c r="G200" s="33">
        <f>B200+D200</f>
        <v>261223.54</v>
      </c>
      <c r="H200" s="34">
        <f t="shared" si="62"/>
        <v>4.7386154239257711E-2</v>
      </c>
    </row>
    <row r="201" spans="1:8" ht="13.5" thickBot="1" x14ac:dyDescent="0.25">
      <c r="A201" s="40" t="s">
        <v>29</v>
      </c>
      <c r="B201" s="41">
        <v>307824.24</v>
      </c>
      <c r="C201" s="135">
        <f t="shared" si="61"/>
        <v>9.6846893635571391E-2</v>
      </c>
      <c r="D201" s="42">
        <v>2031192.52</v>
      </c>
      <c r="E201" s="30">
        <f t="shared" si="63"/>
        <v>0.76506806288938378</v>
      </c>
      <c r="F201" s="44">
        <v>-38849.21</v>
      </c>
      <c r="G201" s="33">
        <f>B201+D201</f>
        <v>2339016.7599999998</v>
      </c>
      <c r="H201" s="34">
        <f t="shared" si="62"/>
        <v>0.4242994676420388</v>
      </c>
    </row>
    <row r="202" spans="1:8" ht="13.5" thickBot="1" x14ac:dyDescent="0.25">
      <c r="A202" s="46" t="s">
        <v>24</v>
      </c>
      <c r="B202" s="47">
        <f>SUM(B197:B201)</f>
        <v>3178462.71</v>
      </c>
      <c r="C202" s="137">
        <f t="shared" si="61"/>
        <v>1</v>
      </c>
      <c r="D202" s="47">
        <f>SUM(D197:D201)</f>
        <v>2654917.41</v>
      </c>
      <c r="E202" s="48">
        <f t="shared" si="63"/>
        <v>1</v>
      </c>
      <c r="F202" s="49">
        <f>SUM(F197:F201)</f>
        <v>-138682.6</v>
      </c>
      <c r="G202" s="47">
        <f>SUM(G197:G201)</f>
        <v>5833380.1199999992</v>
      </c>
      <c r="H202" s="50">
        <f>SUM(H197:H201)</f>
        <v>1.0581797111490781</v>
      </c>
    </row>
    <row r="204" spans="1:8" ht="13.5" thickBot="1" x14ac:dyDescent="0.25">
      <c r="A204" s="22" t="s">
        <v>131</v>
      </c>
    </row>
    <row r="205" spans="1:8" ht="13.5" thickBot="1" x14ac:dyDescent="0.25">
      <c r="A205" s="23" t="s">
        <v>19</v>
      </c>
      <c r="B205" s="24" t="s">
        <v>20</v>
      </c>
      <c r="C205" s="133" t="s">
        <v>21</v>
      </c>
      <c r="D205" s="25" t="s">
        <v>22</v>
      </c>
      <c r="E205" s="26" t="s">
        <v>21</v>
      </c>
      <c r="F205" s="27" t="s">
        <v>23</v>
      </c>
      <c r="G205" s="25" t="s">
        <v>24</v>
      </c>
      <c r="H205" s="25" t="s">
        <v>21</v>
      </c>
    </row>
    <row r="206" spans="1:8" x14ac:dyDescent="0.2">
      <c r="A206" s="28" t="s">
        <v>25</v>
      </c>
      <c r="B206" s="29">
        <v>1863983.2300000002</v>
      </c>
      <c r="C206" s="135">
        <f t="shared" ref="C206:C211" si="64">B206/$B$211</f>
        <v>0.63990390191025315</v>
      </c>
      <c r="D206" s="31">
        <v>115659.02</v>
      </c>
      <c r="E206" s="30">
        <f t="shared" ref="E206:E211" si="65">D206/$D$211</f>
        <v>4.4488614772351609E-2</v>
      </c>
      <c r="F206" s="32">
        <f>-28046.71+-976.25</f>
        <v>-29022.959999999999</v>
      </c>
      <c r="G206" s="33">
        <f>B206+D206</f>
        <v>1979642.2500000002</v>
      </c>
      <c r="H206" s="34">
        <f t="shared" ref="H206:H211" si="66">G206/$G$211</f>
        <v>0.35910865076344645</v>
      </c>
    </row>
    <row r="207" spans="1:8" x14ac:dyDescent="0.2">
      <c r="A207" s="35" t="s">
        <v>26</v>
      </c>
      <c r="B207" s="36">
        <v>482734.39</v>
      </c>
      <c r="C207" s="135">
        <f t="shared" si="64"/>
        <v>0.1657223170120827</v>
      </c>
      <c r="D207" s="29">
        <v>209079.13999999998</v>
      </c>
      <c r="E207" s="30">
        <f t="shared" si="65"/>
        <v>8.0422964991356233E-2</v>
      </c>
      <c r="F207" s="38">
        <f>-52196.58+-4479.96</f>
        <v>-56676.54</v>
      </c>
      <c r="G207" s="33">
        <f>B207+D207</f>
        <v>691813.53</v>
      </c>
      <c r="H207" s="34">
        <f t="shared" si="66"/>
        <v>0.12549551482758922</v>
      </c>
    </row>
    <row r="208" spans="1:8" x14ac:dyDescent="0.2">
      <c r="A208" s="35" t="s">
        <v>27</v>
      </c>
      <c r="B208" s="36">
        <v>177544.62</v>
      </c>
      <c r="C208" s="135">
        <f t="shared" si="64"/>
        <v>6.095092127045218E-2</v>
      </c>
      <c r="D208" s="33">
        <v>175114.88999999998</v>
      </c>
      <c r="E208" s="30">
        <f t="shared" si="65"/>
        <v>6.7358506773727872E-2</v>
      </c>
      <c r="F208" s="38">
        <f>-7411.61+-2889.87</f>
        <v>-10301.48</v>
      </c>
      <c r="G208" s="33">
        <f>B208+D208</f>
        <v>352659.51</v>
      </c>
      <c r="H208" s="34">
        <f t="shared" si="66"/>
        <v>6.3972710632437826E-2</v>
      </c>
    </row>
    <row r="209" spans="1:8" x14ac:dyDescent="0.2">
      <c r="A209" s="35" t="s">
        <v>28</v>
      </c>
      <c r="B209" s="36">
        <v>94713.159999999989</v>
      </c>
      <c r="C209" s="135">
        <f t="shared" si="64"/>
        <v>3.2514949528945118E-2</v>
      </c>
      <c r="D209" s="33">
        <v>158440.43999999997</v>
      </c>
      <c r="E209" s="30">
        <f t="shared" si="65"/>
        <v>6.0944625845194673E-2</v>
      </c>
      <c r="F209" s="38">
        <f>-3106.32+-2853.62</f>
        <v>-5959.9400000000005</v>
      </c>
      <c r="G209" s="33">
        <f>B209+D209</f>
        <v>253153.59999999998</v>
      </c>
      <c r="H209" s="34">
        <f t="shared" si="66"/>
        <v>4.5922260818543954E-2</v>
      </c>
    </row>
    <row r="210" spans="1:8" ht="13.5" thickBot="1" x14ac:dyDescent="0.25">
      <c r="A210" s="40" t="s">
        <v>29</v>
      </c>
      <c r="B210" s="41">
        <v>293935.78000000003</v>
      </c>
      <c r="C210" s="135">
        <f t="shared" si="64"/>
        <v>0.10090791027826669</v>
      </c>
      <c r="D210" s="42">
        <v>1941450.75</v>
      </c>
      <c r="E210" s="30">
        <f t="shared" si="65"/>
        <v>0.74678528761736973</v>
      </c>
      <c r="F210" s="44">
        <f>-36765.77+-29959.53</f>
        <v>-66725.299999999988</v>
      </c>
      <c r="G210" s="33">
        <f>B210+D210</f>
        <v>2235386.5300000003</v>
      </c>
      <c r="H210" s="34">
        <f t="shared" si="66"/>
        <v>0.40550086295798266</v>
      </c>
    </row>
    <row r="211" spans="1:8" ht="13.5" thickBot="1" x14ac:dyDescent="0.25">
      <c r="A211" s="46" t="s">
        <v>24</v>
      </c>
      <c r="B211" s="47">
        <f>SUM(B206:B210)</f>
        <v>2912911.1800000006</v>
      </c>
      <c r="C211" s="137">
        <f t="shared" si="64"/>
        <v>1</v>
      </c>
      <c r="D211" s="47">
        <f>SUM(D206:D210)</f>
        <v>2599744.2399999998</v>
      </c>
      <c r="E211" s="48">
        <f t="shared" si="65"/>
        <v>1</v>
      </c>
      <c r="F211" s="49">
        <f>SUM(F206:F210)</f>
        <v>-168686.21999999997</v>
      </c>
      <c r="G211" s="47">
        <f>SUM(G206:G210)</f>
        <v>5512655.4199999999</v>
      </c>
      <c r="H211" s="50">
        <f t="shared" si="66"/>
        <v>1</v>
      </c>
    </row>
    <row r="214" spans="1:8" ht="13.5" thickBot="1" x14ac:dyDescent="0.25">
      <c r="A214" s="22" t="s">
        <v>117</v>
      </c>
    </row>
    <row r="215" spans="1:8" ht="13.5" thickBot="1" x14ac:dyDescent="0.25">
      <c r="A215" s="23" t="s">
        <v>19</v>
      </c>
      <c r="B215" s="24" t="s">
        <v>20</v>
      </c>
      <c r="C215" s="133" t="s">
        <v>21</v>
      </c>
      <c r="D215" s="25" t="s">
        <v>22</v>
      </c>
      <c r="E215" s="26" t="s">
        <v>21</v>
      </c>
      <c r="F215" s="27" t="s">
        <v>23</v>
      </c>
      <c r="G215" s="25" t="s">
        <v>24</v>
      </c>
      <c r="H215" s="25" t="s">
        <v>21</v>
      </c>
    </row>
    <row r="216" spans="1:8" x14ac:dyDescent="0.2">
      <c r="A216" s="28" t="s">
        <v>25</v>
      </c>
      <c r="B216" s="29">
        <v>1769844.39</v>
      </c>
      <c r="C216" s="135">
        <f t="shared" ref="C216:C218" si="67">B216/$B$221</f>
        <v>0.60052940608941363</v>
      </c>
      <c r="D216" s="31">
        <f>130784.27</f>
        <v>130784.27</v>
      </c>
      <c r="E216" s="30">
        <f>D216/$D$221</f>
        <v>5.2285795332733212E-2</v>
      </c>
      <c r="F216" s="32">
        <f>-37127.3+-1246.67</f>
        <v>-38373.97</v>
      </c>
      <c r="G216" s="33">
        <f>B216+D216</f>
        <v>1900628.66</v>
      </c>
      <c r="H216" s="34">
        <f>G216/$G$221</f>
        <v>0.34883682165384233</v>
      </c>
    </row>
    <row r="217" spans="1:8" x14ac:dyDescent="0.2">
      <c r="A217" s="35" t="s">
        <v>26</v>
      </c>
      <c r="B217" s="36">
        <v>381443.56</v>
      </c>
      <c r="C217" s="135">
        <f t="shared" si="67"/>
        <v>0.12942836999552917</v>
      </c>
      <c r="D217" s="29">
        <v>199240.92</v>
      </c>
      <c r="E217" s="30">
        <f t="shared" ref="E217:E220" si="68">D217/$D$221</f>
        <v>7.9653844954178904E-2</v>
      </c>
      <c r="F217" s="38">
        <f>-34415.71+-1372.39</f>
        <v>-35788.1</v>
      </c>
      <c r="G217" s="33">
        <f>B217+D217</f>
        <v>580684.48</v>
      </c>
      <c r="H217" s="34">
        <f t="shared" ref="H217:H220" si="69">G217/$G$221</f>
        <v>0.10657743548227573</v>
      </c>
    </row>
    <row r="218" spans="1:8" x14ac:dyDescent="0.2">
      <c r="A218" s="35" t="s">
        <v>27</v>
      </c>
      <c r="B218" s="36">
        <v>172078.47</v>
      </c>
      <c r="C218" s="135">
        <f t="shared" si="67"/>
        <v>5.8388286548669392E-2</v>
      </c>
      <c r="D218" s="33">
        <v>176173.89</v>
      </c>
      <c r="E218" s="30">
        <f t="shared" si="68"/>
        <v>7.0431956041131352E-2</v>
      </c>
      <c r="F218" s="38">
        <f>-9642.98+-3328.8</f>
        <v>-12971.779999999999</v>
      </c>
      <c r="G218" s="33">
        <f>B218+D218</f>
        <v>348252.36</v>
      </c>
      <c r="H218" s="34">
        <f t="shared" si="69"/>
        <v>6.3917402148323754E-2</v>
      </c>
    </row>
    <row r="219" spans="1:8" x14ac:dyDescent="0.2">
      <c r="A219" s="35" t="s">
        <v>28</v>
      </c>
      <c r="B219" s="36">
        <v>114169.82</v>
      </c>
      <c r="C219" s="135">
        <f>B219/$B$221</f>
        <v>3.8739187798276016E-2</v>
      </c>
      <c r="D219" s="33">
        <v>146022.65</v>
      </c>
      <c r="E219" s="30">
        <f t="shared" si="68"/>
        <v>5.8377895077468676E-2</v>
      </c>
      <c r="F219" s="38">
        <f>-8153.56+-1822.12</f>
        <v>-9975.68</v>
      </c>
      <c r="G219" s="33">
        <f>B219+D219</f>
        <v>260192.47</v>
      </c>
      <c r="H219" s="34">
        <f t="shared" si="69"/>
        <v>4.7755101332136451E-2</v>
      </c>
    </row>
    <row r="220" spans="1:8" ht="13.5" thickBot="1" x14ac:dyDescent="0.25">
      <c r="A220" s="40" t="s">
        <v>29</v>
      </c>
      <c r="B220" s="41">
        <v>509604.02</v>
      </c>
      <c r="C220" s="135">
        <f t="shared" ref="C220" si="70">B220/$B$221</f>
        <v>0.17291474956811184</v>
      </c>
      <c r="D220" s="42">
        <v>1849112.89</v>
      </c>
      <c r="E220" s="30">
        <f t="shared" si="68"/>
        <v>0.73925050859448782</v>
      </c>
      <c r="F220" s="44">
        <f>-30866.13+-26152.24</f>
        <v>-57018.37</v>
      </c>
      <c r="G220" s="33">
        <f>B220+D220</f>
        <v>2358716.91</v>
      </c>
      <c r="H220" s="34">
        <f t="shared" si="69"/>
        <v>0.43291323938342174</v>
      </c>
    </row>
    <row r="221" spans="1:8" ht="13.5" thickBot="1" x14ac:dyDescent="0.25">
      <c r="A221" s="46" t="s">
        <v>24</v>
      </c>
      <c r="B221" s="47">
        <f>SUM(B216:B220)</f>
        <v>2947140.26</v>
      </c>
      <c r="C221" s="137">
        <f>B221/$B$221</f>
        <v>1</v>
      </c>
      <c r="D221" s="47">
        <f>SUM(D216:D220)</f>
        <v>2501334.62</v>
      </c>
      <c r="E221" s="48">
        <f>D221/$D$221</f>
        <v>1</v>
      </c>
      <c r="F221" s="49">
        <f>SUM(F216:F220)</f>
        <v>-154127.9</v>
      </c>
      <c r="G221" s="47">
        <f>SUM(G216:G220)</f>
        <v>5448474.8799999999</v>
      </c>
      <c r="H221" s="50">
        <f>G221/$G$221</f>
        <v>1</v>
      </c>
    </row>
    <row r="224" spans="1:8" ht="13.5" thickBot="1" x14ac:dyDescent="0.25">
      <c r="A224" s="22" t="s">
        <v>112</v>
      </c>
    </row>
    <row r="225" spans="1:8" ht="13.5" thickBot="1" x14ac:dyDescent="0.25">
      <c r="A225" s="23" t="s">
        <v>19</v>
      </c>
      <c r="B225" s="24" t="s">
        <v>20</v>
      </c>
      <c r="C225" s="133" t="s">
        <v>21</v>
      </c>
      <c r="D225" s="25" t="s">
        <v>22</v>
      </c>
      <c r="E225" s="26" t="s">
        <v>21</v>
      </c>
      <c r="F225" s="27" t="s">
        <v>23</v>
      </c>
      <c r="G225" s="25" t="s">
        <v>24</v>
      </c>
      <c r="H225" s="25" t="s">
        <v>21</v>
      </c>
    </row>
    <row r="226" spans="1:8" x14ac:dyDescent="0.2">
      <c r="A226" s="28" t="s">
        <v>25</v>
      </c>
      <c r="B226" s="29">
        <v>1523947.75</v>
      </c>
      <c r="C226" s="134">
        <f t="shared" ref="C226:C231" si="71">B226/$B$231</f>
        <v>0.54721047723089911</v>
      </c>
      <c r="D226" s="31">
        <v>91939.19</v>
      </c>
      <c r="E226" s="30">
        <f t="shared" ref="E226:E231" si="72">D226/$D$231</f>
        <v>3.8407274477068487E-2</v>
      </c>
      <c r="F226" s="32">
        <f>-2321.2+-38736.52</f>
        <v>-41057.719999999994</v>
      </c>
      <c r="G226" s="33">
        <f>B226+D226</f>
        <v>1615886.94</v>
      </c>
      <c r="H226" s="34">
        <f t="shared" ref="H226:H231" si="73">G226/$G$231</f>
        <v>0.31202347425693905</v>
      </c>
    </row>
    <row r="227" spans="1:8" x14ac:dyDescent="0.2">
      <c r="A227" s="35" t="s">
        <v>26</v>
      </c>
      <c r="B227" s="36">
        <v>435868.75</v>
      </c>
      <c r="C227" s="135">
        <f t="shared" si="71"/>
        <v>0.15650926791783737</v>
      </c>
      <c r="D227" s="29">
        <v>191486.87</v>
      </c>
      <c r="E227" s="30">
        <f t="shared" si="72"/>
        <v>7.9992968992273372E-2</v>
      </c>
      <c r="F227" s="38">
        <f>-1511.09+-28242.37</f>
        <v>-29753.46</v>
      </c>
      <c r="G227" s="33">
        <f>B227+D227</f>
        <v>627355.62</v>
      </c>
      <c r="H227" s="34">
        <f t="shared" si="73"/>
        <v>0.12114070316517074</v>
      </c>
    </row>
    <row r="228" spans="1:8" x14ac:dyDescent="0.2">
      <c r="A228" s="35" t="s">
        <v>27</v>
      </c>
      <c r="B228" s="36">
        <v>214983.79</v>
      </c>
      <c r="C228" s="135">
        <f t="shared" si="71"/>
        <v>7.719515470448865E-2</v>
      </c>
      <c r="D228" s="33">
        <v>173400.17</v>
      </c>
      <c r="E228" s="30">
        <f t="shared" si="72"/>
        <v>7.2437313441203216E-2</v>
      </c>
      <c r="F228" s="38">
        <f>-1360.94+-10299.91</f>
        <v>-11660.85</v>
      </c>
      <c r="G228" s="33">
        <f>B228+D228</f>
        <v>388383.96</v>
      </c>
      <c r="H228" s="34">
        <f t="shared" si="73"/>
        <v>7.4995910632750129E-2</v>
      </c>
    </row>
    <row r="229" spans="1:8" x14ac:dyDescent="0.2">
      <c r="A229" s="35" t="s">
        <v>28</v>
      </c>
      <c r="B229" s="36">
        <v>136721.41</v>
      </c>
      <c r="C229" s="135">
        <f t="shared" si="71"/>
        <v>4.9093145098827319E-2</v>
      </c>
      <c r="D229" s="33">
        <v>162069.92000000001</v>
      </c>
      <c r="E229" s="30">
        <f t="shared" si="72"/>
        <v>6.7704141203729681E-2</v>
      </c>
      <c r="F229" s="38">
        <f>-2586.13+-6423.33</f>
        <v>-9009.4599999999991</v>
      </c>
      <c r="G229" s="33">
        <f>B229+D229</f>
        <v>298791.33</v>
      </c>
      <c r="H229" s="34">
        <f t="shared" si="73"/>
        <v>5.7695811852066577E-2</v>
      </c>
    </row>
    <row r="230" spans="1:8" ht="13.5" thickBot="1" x14ac:dyDescent="0.25">
      <c r="A230" s="40" t="s">
        <v>29</v>
      </c>
      <c r="B230" s="41">
        <v>473417.21</v>
      </c>
      <c r="C230" s="136">
        <f t="shared" si="71"/>
        <v>0.16999195504794753</v>
      </c>
      <c r="D230" s="42">
        <v>1774900.11</v>
      </c>
      <c r="E230" s="30">
        <f t="shared" si="72"/>
        <v>0.74145830188572515</v>
      </c>
      <c r="F230" s="44">
        <f>-23175.82+-25925.74</f>
        <v>-49101.56</v>
      </c>
      <c r="G230" s="33">
        <f>B230+D230</f>
        <v>2248317.3200000003</v>
      </c>
      <c r="H230" s="34">
        <f t="shared" si="73"/>
        <v>0.43414410009307358</v>
      </c>
    </row>
    <row r="231" spans="1:8" ht="13.5" thickBot="1" x14ac:dyDescent="0.25">
      <c r="A231" s="46" t="s">
        <v>24</v>
      </c>
      <c r="B231" s="47">
        <f>SUM(B226:B230)</f>
        <v>2784938.91</v>
      </c>
      <c r="C231" s="137">
        <f t="shared" si="71"/>
        <v>1</v>
      </c>
      <c r="D231" s="47">
        <f>SUM(D226:D230)</f>
        <v>2393796.2600000002</v>
      </c>
      <c r="E231" s="48">
        <f t="shared" si="72"/>
        <v>1</v>
      </c>
      <c r="F231" s="49">
        <f>SUM(F226:F230)</f>
        <v>-140583.04999999999</v>
      </c>
      <c r="G231" s="47">
        <f>SUM(G226:G230)</f>
        <v>5178735.17</v>
      </c>
      <c r="H231" s="50">
        <f t="shared" si="73"/>
        <v>1</v>
      </c>
    </row>
    <row r="235" spans="1:8" ht="13.5" thickBot="1" x14ac:dyDescent="0.25">
      <c r="A235" s="22" t="s">
        <v>110</v>
      </c>
    </row>
    <row r="236" spans="1:8" ht="13.5" thickBot="1" x14ac:dyDescent="0.25">
      <c r="A236" s="23" t="s">
        <v>19</v>
      </c>
      <c r="B236" s="24" t="s">
        <v>20</v>
      </c>
      <c r="C236" s="133" t="s">
        <v>21</v>
      </c>
      <c r="D236" s="25" t="s">
        <v>22</v>
      </c>
      <c r="E236" s="26" t="s">
        <v>21</v>
      </c>
      <c r="F236" s="27" t="s">
        <v>23</v>
      </c>
      <c r="G236" s="25" t="s">
        <v>24</v>
      </c>
      <c r="H236" s="25" t="s">
        <v>21</v>
      </c>
    </row>
    <row r="237" spans="1:8" x14ac:dyDescent="0.2">
      <c r="A237" s="28" t="s">
        <v>25</v>
      </c>
      <c r="B237" s="29">
        <v>1185194.18</v>
      </c>
      <c r="C237" s="134">
        <f>B237/$B$242</f>
        <v>0.47329991717809788</v>
      </c>
      <c r="D237" s="31">
        <v>95447.1</v>
      </c>
      <c r="E237" s="30">
        <f t="shared" ref="E237:E242" si="74">D237/$D$242</f>
        <v>4.1837332115371925E-2</v>
      </c>
      <c r="F237" s="32">
        <f>-37747.82+-3489.81</f>
        <v>-41237.629999999997</v>
      </c>
      <c r="G237" s="33">
        <f>B237+D237</f>
        <v>1280641.28</v>
      </c>
      <c r="H237" s="34">
        <f t="shared" ref="H237:H242" si="75">G237/$G$242</f>
        <v>0.26760900002036569</v>
      </c>
    </row>
    <row r="238" spans="1:8" x14ac:dyDescent="0.2">
      <c r="A238" s="35" t="s">
        <v>26</v>
      </c>
      <c r="B238" s="36">
        <v>485236.82</v>
      </c>
      <c r="C238" s="135">
        <f>B238/$B$242</f>
        <v>0.19377630315208233</v>
      </c>
      <c r="D238" s="29">
        <v>178291.92</v>
      </c>
      <c r="E238" s="30">
        <f t="shared" si="74"/>
        <v>7.8150706208227616E-2</v>
      </c>
      <c r="F238" s="38">
        <f>-41636.85+-2604.75</f>
        <v>-44241.599999999999</v>
      </c>
      <c r="G238" s="33">
        <f>B238+D238</f>
        <v>663528.74</v>
      </c>
      <c r="H238" s="34">
        <f t="shared" si="75"/>
        <v>0.13865417691062809</v>
      </c>
    </row>
    <row r="239" spans="1:8" x14ac:dyDescent="0.2">
      <c r="A239" s="35" t="s">
        <v>27</v>
      </c>
      <c r="B239" s="36">
        <v>250282.98</v>
      </c>
      <c r="C239" s="135">
        <f>B239/$B$242</f>
        <v>9.9948949888606059E-2</v>
      </c>
      <c r="D239" s="33">
        <v>170124.19</v>
      </c>
      <c r="E239" s="30">
        <f t="shared" si="74"/>
        <v>7.4570544708939659E-2</v>
      </c>
      <c r="F239" s="38">
        <f>-28779.47+-2773.52</f>
        <v>-31552.99</v>
      </c>
      <c r="G239" s="33">
        <f>B239+D239</f>
        <v>420407.17000000004</v>
      </c>
      <c r="H239" s="34">
        <f t="shared" si="75"/>
        <v>8.7850316963929115E-2</v>
      </c>
    </row>
    <row r="240" spans="1:8" x14ac:dyDescent="0.2">
      <c r="A240" s="35" t="s">
        <v>28</v>
      </c>
      <c r="B240" s="36">
        <v>133374.88</v>
      </c>
      <c r="C240" s="135">
        <f>B240/$B$242</f>
        <v>5.3262427982593327E-2</v>
      </c>
      <c r="D240" s="33">
        <v>165740.49</v>
      </c>
      <c r="E240" s="30">
        <f t="shared" si="74"/>
        <v>7.264903726875388E-2</v>
      </c>
      <c r="F240" s="38">
        <f>-12494.72+-3379.03</f>
        <v>-15873.75</v>
      </c>
      <c r="G240" s="33">
        <f>B240+D240</f>
        <v>299115.37</v>
      </c>
      <c r="H240" s="34">
        <f t="shared" si="75"/>
        <v>6.2504595398035032E-2</v>
      </c>
    </row>
    <row r="241" spans="1:8" ht="13.5" thickBot="1" x14ac:dyDescent="0.25">
      <c r="A241" s="40" t="s">
        <v>29</v>
      </c>
      <c r="B241" s="41">
        <v>450019.29</v>
      </c>
      <c r="C241" s="136">
        <f>B241/$B$242</f>
        <v>0.17971240179862039</v>
      </c>
      <c r="D241" s="42">
        <v>1671782.21</v>
      </c>
      <c r="E241" s="30">
        <f t="shared" si="74"/>
        <v>0.73279237969870681</v>
      </c>
      <c r="F241" s="44">
        <f>-27356.23+-26839.21</f>
        <v>-54195.44</v>
      </c>
      <c r="G241" s="33">
        <f>B241+D241</f>
        <v>2121801.5</v>
      </c>
      <c r="H241" s="34">
        <f t="shared" si="75"/>
        <v>0.44338191070704197</v>
      </c>
    </row>
    <row r="242" spans="1:8" ht="13.5" thickBot="1" x14ac:dyDescent="0.25">
      <c r="A242" s="46" t="s">
        <v>24</v>
      </c>
      <c r="B242" s="47">
        <f>SUM(B237:B241)</f>
        <v>2504108.15</v>
      </c>
      <c r="C242" s="137">
        <f>B242/B242</f>
        <v>1</v>
      </c>
      <c r="D242" s="47">
        <f>SUM(D237:D241)</f>
        <v>2281385.91</v>
      </c>
      <c r="E242" s="48">
        <f t="shared" si="74"/>
        <v>1</v>
      </c>
      <c r="F242" s="49">
        <f>SUM(F237:F241)</f>
        <v>-187101.41</v>
      </c>
      <c r="G242" s="47">
        <f>SUM(G237:G241)</f>
        <v>4785494.0600000005</v>
      </c>
      <c r="H242" s="50">
        <f t="shared" si="75"/>
        <v>1</v>
      </c>
    </row>
    <row r="245" spans="1:8" ht="13.5" thickBot="1" x14ac:dyDescent="0.25">
      <c r="A245" s="22" t="s">
        <v>108</v>
      </c>
    </row>
    <row r="246" spans="1:8" ht="13.5" thickBot="1" x14ac:dyDescent="0.25">
      <c r="A246" s="23" t="s">
        <v>19</v>
      </c>
      <c r="B246" s="24" t="s">
        <v>20</v>
      </c>
      <c r="C246" s="133" t="s">
        <v>21</v>
      </c>
      <c r="D246" s="25" t="s">
        <v>22</v>
      </c>
      <c r="E246" s="26" t="s">
        <v>21</v>
      </c>
      <c r="F246" s="27" t="s">
        <v>23</v>
      </c>
      <c r="G246" s="25" t="s">
        <v>24</v>
      </c>
      <c r="H246" s="25" t="s">
        <v>21</v>
      </c>
    </row>
    <row r="247" spans="1:8" x14ac:dyDescent="0.2">
      <c r="A247" s="28" t="s">
        <v>25</v>
      </c>
      <c r="B247" s="29">
        <v>1397680.94</v>
      </c>
      <c r="C247" s="134">
        <f t="shared" ref="C247:C252" si="76">B247/$B$252</f>
        <v>0.48077251761831546</v>
      </c>
      <c r="D247" s="31">
        <v>91072.03</v>
      </c>
      <c r="E247" s="30">
        <f t="shared" ref="E247:E252" si="77">D247/$D$252</f>
        <v>4.0944061525121915E-2</v>
      </c>
      <c r="F247" s="32">
        <f>-24402.01+-1670.97</f>
        <v>-26072.98</v>
      </c>
      <c r="G247" s="33">
        <f>B247+D247</f>
        <v>1488752.97</v>
      </c>
      <c r="H247" s="34">
        <f t="shared" ref="H247:H252" si="78">G247/$G$252</f>
        <v>0.29012267471061998</v>
      </c>
    </row>
    <row r="248" spans="1:8" x14ac:dyDescent="0.2">
      <c r="A248" s="35" t="s">
        <v>26</v>
      </c>
      <c r="B248" s="36">
        <v>612786.64</v>
      </c>
      <c r="C248" s="135">
        <f t="shared" si="76"/>
        <v>0.2107855714736071</v>
      </c>
      <c r="D248" s="29">
        <v>190906.63</v>
      </c>
      <c r="E248" s="30">
        <f t="shared" si="77"/>
        <v>8.5827589483551486E-2</v>
      </c>
      <c r="F248" s="38">
        <f>-58129.51+-1258.84</f>
        <v>-59388.35</v>
      </c>
      <c r="G248" s="33">
        <f>B248+D248</f>
        <v>803693.27</v>
      </c>
      <c r="H248" s="34">
        <f t="shared" si="78"/>
        <v>0.15662077311545144</v>
      </c>
    </row>
    <row r="249" spans="1:8" x14ac:dyDescent="0.2">
      <c r="A249" s="35" t="s">
        <v>27</v>
      </c>
      <c r="B249" s="36">
        <v>280932.58</v>
      </c>
      <c r="C249" s="135">
        <f t="shared" si="76"/>
        <v>9.6634832673334461E-2</v>
      </c>
      <c r="D249" s="33">
        <v>194039.28</v>
      </c>
      <c r="E249" s="30">
        <f t="shared" si="77"/>
        <v>8.7235962771559594E-2</v>
      </c>
      <c r="F249" s="38">
        <f>-28228.53+-3419.83</f>
        <v>-31648.36</v>
      </c>
      <c r="G249" s="33">
        <f>B249+D249</f>
        <v>474971.86</v>
      </c>
      <c r="H249" s="34">
        <f t="shared" si="78"/>
        <v>9.2560760053750302E-2</v>
      </c>
    </row>
    <row r="250" spans="1:8" x14ac:dyDescent="0.2">
      <c r="A250" s="35" t="s">
        <v>28</v>
      </c>
      <c r="B250" s="36">
        <v>140215.54999999999</v>
      </c>
      <c r="C250" s="135">
        <f t="shared" si="76"/>
        <v>4.8231167109381051E-2</v>
      </c>
      <c r="D250" s="33">
        <v>179819.42</v>
      </c>
      <c r="E250" s="30">
        <f t="shared" si="77"/>
        <v>8.0843013995534507E-2</v>
      </c>
      <c r="F250" s="38">
        <f>-6437.69+-4440.05</f>
        <v>-10877.74</v>
      </c>
      <c r="G250" s="33">
        <f>B250+D250</f>
        <v>320034.96999999997</v>
      </c>
      <c r="H250" s="34">
        <f t="shared" si="78"/>
        <v>6.2367231749222311E-2</v>
      </c>
    </row>
    <row r="251" spans="1:8" ht="13.5" thickBot="1" x14ac:dyDescent="0.25">
      <c r="A251" s="40" t="s">
        <v>29</v>
      </c>
      <c r="B251" s="41">
        <v>475540.77</v>
      </c>
      <c r="C251" s="136">
        <f t="shared" si="76"/>
        <v>0.16357591112536193</v>
      </c>
      <c r="D251" s="42">
        <v>1568466.4</v>
      </c>
      <c r="E251" s="30">
        <f t="shared" si="77"/>
        <v>0.70514937222423257</v>
      </c>
      <c r="F251" s="44">
        <f>-23349.84+-30250.45</f>
        <v>-53600.29</v>
      </c>
      <c r="G251" s="33">
        <f>B251+D251</f>
        <v>2044007.17</v>
      </c>
      <c r="H251" s="34">
        <f t="shared" si="78"/>
        <v>0.39832856037095588</v>
      </c>
    </row>
    <row r="252" spans="1:8" ht="13.5" thickBot="1" x14ac:dyDescent="0.25">
      <c r="A252" s="46" t="s">
        <v>24</v>
      </c>
      <c r="B252" s="47">
        <f>SUM(B247:B251)</f>
        <v>2907156.48</v>
      </c>
      <c r="C252" s="137">
        <f t="shared" si="76"/>
        <v>1</v>
      </c>
      <c r="D252" s="47">
        <f>SUM(D247:D251)</f>
        <v>2224303.7599999998</v>
      </c>
      <c r="E252" s="48">
        <f t="shared" si="77"/>
        <v>1</v>
      </c>
      <c r="F252" s="49">
        <f>SUM(F247:F251)</f>
        <v>-181587.72</v>
      </c>
      <c r="G252" s="47">
        <f>SUM(G247:G251)</f>
        <v>5131460.24</v>
      </c>
      <c r="H252" s="50">
        <f t="shared" si="78"/>
        <v>1</v>
      </c>
    </row>
    <row r="256" spans="1:8" ht="13.5" thickBot="1" x14ac:dyDescent="0.25">
      <c r="A256" s="22" t="s">
        <v>106</v>
      </c>
    </row>
    <row r="257" spans="1:8" ht="13.5" thickBot="1" x14ac:dyDescent="0.25">
      <c r="A257" s="23" t="s">
        <v>19</v>
      </c>
      <c r="B257" s="24" t="s">
        <v>20</v>
      </c>
      <c r="C257" s="133" t="s">
        <v>21</v>
      </c>
      <c r="D257" s="25" t="s">
        <v>22</v>
      </c>
      <c r="E257" s="26" t="s">
        <v>21</v>
      </c>
      <c r="F257" s="27" t="s">
        <v>23</v>
      </c>
      <c r="G257" s="25" t="s">
        <v>24</v>
      </c>
      <c r="H257" s="25" t="s">
        <v>21</v>
      </c>
    </row>
    <row r="258" spans="1:8" x14ac:dyDescent="0.2">
      <c r="A258" s="28" t="s">
        <v>25</v>
      </c>
      <c r="B258" s="29">
        <v>1606720.86</v>
      </c>
      <c r="C258" s="134">
        <f>B258/$B$263</f>
        <v>0.50621230246906135</v>
      </c>
      <c r="D258" s="31">
        <v>71357.94</v>
      </c>
      <c r="E258" s="30">
        <f>D258/$D$263</f>
        <v>3.3952254424833017E-2</v>
      </c>
      <c r="F258" s="32">
        <f>-30294.86+-1347.21</f>
        <v>-31642.07</v>
      </c>
      <c r="G258" s="33">
        <f>B258+D258</f>
        <v>1678078.8</v>
      </c>
      <c r="H258" s="34">
        <f>G258/$G$263</f>
        <v>0.31807577122326924</v>
      </c>
    </row>
    <row r="259" spans="1:8" x14ac:dyDescent="0.2">
      <c r="A259" s="35" t="s">
        <v>26</v>
      </c>
      <c r="B259" s="36">
        <v>673656.87</v>
      </c>
      <c r="C259" s="135">
        <f>B259/$B$263</f>
        <v>0.21224184220574635</v>
      </c>
      <c r="D259" s="29">
        <v>212018.82</v>
      </c>
      <c r="E259" s="30">
        <f>D259/$D$263</f>
        <v>0.10087899005342468</v>
      </c>
      <c r="F259" s="38">
        <f>-46779.34+-2053.93</f>
        <v>-48833.27</v>
      </c>
      <c r="G259" s="33">
        <f>B259+D259</f>
        <v>885675.69</v>
      </c>
      <c r="H259" s="34">
        <f>G259/$G$263</f>
        <v>0.16787768139997425</v>
      </c>
    </row>
    <row r="260" spans="1:8" x14ac:dyDescent="0.2">
      <c r="A260" s="35" t="s">
        <v>27</v>
      </c>
      <c r="B260" s="36">
        <v>273737.34000000003</v>
      </c>
      <c r="C260" s="135">
        <f>B260/$B$263</f>
        <v>8.6243486720621945E-2</v>
      </c>
      <c r="D260" s="33">
        <v>199907.45</v>
      </c>
      <c r="E260" s="30">
        <f>D260/$D$263</f>
        <v>9.5116375330055569E-2</v>
      </c>
      <c r="F260" s="38">
        <f>-28331.14+-1605.33</f>
        <v>-29936.47</v>
      </c>
      <c r="G260" s="33">
        <f>B260+D260</f>
        <v>473644.79000000004</v>
      </c>
      <c r="H260" s="34">
        <f>G260/$G$263</f>
        <v>8.9778222491776555E-2</v>
      </c>
    </row>
    <row r="261" spans="1:8" x14ac:dyDescent="0.2">
      <c r="A261" s="35" t="s">
        <v>28</v>
      </c>
      <c r="B261" s="36">
        <v>137009.25</v>
      </c>
      <c r="C261" s="135">
        <f>B261/$B$263</f>
        <v>4.3166034392594636E-2</v>
      </c>
      <c r="D261" s="33">
        <v>151410.49</v>
      </c>
      <c r="E261" s="30">
        <f>D261/$D$263</f>
        <v>7.2041422146836565E-2</v>
      </c>
      <c r="F261" s="38">
        <f>-13957.91+-1690.05</f>
        <v>-15647.96</v>
      </c>
      <c r="G261" s="33">
        <f>B261+D261</f>
        <v>288419.74</v>
      </c>
      <c r="H261" s="34">
        <f>G261/$G$263</f>
        <v>5.4669262990817112E-2</v>
      </c>
    </row>
    <row r="262" spans="1:8" ht="13.5" thickBot="1" x14ac:dyDescent="0.25">
      <c r="A262" s="40" t="s">
        <v>29</v>
      </c>
      <c r="B262" s="41">
        <v>482881.63</v>
      </c>
      <c r="C262" s="136">
        <f>B262/$B$263</f>
        <v>0.15213633421197589</v>
      </c>
      <c r="D262" s="42">
        <v>1467019.64</v>
      </c>
      <c r="E262" s="30">
        <f>D262/$D$263</f>
        <v>0.69801095804485014</v>
      </c>
      <c r="F262" s="44">
        <f>-23244.34+-22824.46</f>
        <v>-46068.800000000003</v>
      </c>
      <c r="G262" s="33">
        <f>B262+D262</f>
        <v>1949901.27</v>
      </c>
      <c r="H262" s="34">
        <f>G262/$G$263</f>
        <v>0.36959906189416264</v>
      </c>
    </row>
    <row r="263" spans="1:8" ht="13.5" thickBot="1" x14ac:dyDescent="0.25">
      <c r="A263" s="46" t="s">
        <v>24</v>
      </c>
      <c r="B263" s="47">
        <f>SUM(B258:B262)</f>
        <v>3174005.9499999997</v>
      </c>
      <c r="C263" s="137">
        <v>1</v>
      </c>
      <c r="D263" s="47">
        <f>SUM(D258:D262)</f>
        <v>2101714.34</v>
      </c>
      <c r="E263" s="48">
        <v>1</v>
      </c>
      <c r="F263" s="49">
        <f>SUM(F258:F262)</f>
        <v>-172128.57</v>
      </c>
      <c r="G263" s="47">
        <f>SUM(G258:G262)</f>
        <v>5275720.290000001</v>
      </c>
      <c r="H263" s="50">
        <f>SUM(H258:H262)</f>
        <v>0.99999999999999978</v>
      </c>
    </row>
    <row r="266" spans="1:8" ht="13.5" thickBot="1" x14ac:dyDescent="0.25">
      <c r="A266" s="22" t="s">
        <v>104</v>
      </c>
    </row>
    <row r="267" spans="1:8" ht="13.5" thickBot="1" x14ac:dyDescent="0.25">
      <c r="A267" s="23" t="s">
        <v>19</v>
      </c>
      <c r="B267" s="24" t="s">
        <v>20</v>
      </c>
      <c r="C267" s="133" t="s">
        <v>21</v>
      </c>
      <c r="D267" s="25" t="s">
        <v>22</v>
      </c>
      <c r="E267" s="26" t="s">
        <v>21</v>
      </c>
      <c r="F267" s="27" t="s">
        <v>23</v>
      </c>
      <c r="G267" s="25" t="s">
        <v>24</v>
      </c>
      <c r="H267" s="25" t="s">
        <v>21</v>
      </c>
    </row>
    <row r="268" spans="1:8" x14ac:dyDescent="0.2">
      <c r="A268" s="28" t="s">
        <v>25</v>
      </c>
      <c r="B268" s="29">
        <v>1589014.6</v>
      </c>
      <c r="C268" s="134">
        <f>B268/B273</f>
        <v>0.52280632817521688</v>
      </c>
      <c r="D268" s="31">
        <v>96823.13</v>
      </c>
      <c r="E268" s="30">
        <f>D268/D273</f>
        <v>4.843903404962404E-2</v>
      </c>
      <c r="F268" s="32">
        <v>-10423.279999999999</v>
      </c>
      <c r="G268" s="33">
        <f>B268+D268</f>
        <v>1685837.73</v>
      </c>
      <c r="H268" s="34">
        <f>G268/G273</f>
        <v>0.33460712026983885</v>
      </c>
    </row>
    <row r="269" spans="1:8" x14ac:dyDescent="0.2">
      <c r="A269" s="35" t="s">
        <v>26</v>
      </c>
      <c r="B269" s="36">
        <v>597777.43999999994</v>
      </c>
      <c r="C269" s="135">
        <f>B269/B273</f>
        <v>0.19667649905317483</v>
      </c>
      <c r="D269" s="29">
        <v>234557.44</v>
      </c>
      <c r="E269" s="30">
        <f>D269/D273</f>
        <v>0.11734526473945478</v>
      </c>
      <c r="F269" s="38">
        <v>-3863.84</v>
      </c>
      <c r="G269" s="33">
        <f>B269+D269</f>
        <v>832334.87999999989</v>
      </c>
      <c r="H269" s="34">
        <f>G269/G273</f>
        <v>0.16520283793680537</v>
      </c>
    </row>
    <row r="270" spans="1:8" x14ac:dyDescent="0.2">
      <c r="A270" s="35" t="s">
        <v>27</v>
      </c>
      <c r="B270" s="36">
        <v>213280.69</v>
      </c>
      <c r="C270" s="135">
        <f>B270/B273</f>
        <v>7.0172101886022131E-2</v>
      </c>
      <c r="D270" s="33">
        <v>158936.29999999999</v>
      </c>
      <c r="E270" s="30">
        <f>D270/D273</f>
        <v>7.9513240766139873E-2</v>
      </c>
      <c r="F270" s="38">
        <v>-5689.1900000000005</v>
      </c>
      <c r="G270" s="33">
        <f>B270+D270</f>
        <v>372216.99</v>
      </c>
      <c r="H270" s="34">
        <f>G270/G273</f>
        <v>7.3878080270161836E-2</v>
      </c>
    </row>
    <row r="271" spans="1:8" x14ac:dyDescent="0.2">
      <c r="A271" s="35" t="s">
        <v>28</v>
      </c>
      <c r="B271" s="36">
        <v>137164.64000000001</v>
      </c>
      <c r="C271" s="135">
        <f>B271/B273</f>
        <v>4.5128938270218216E-2</v>
      </c>
      <c r="D271" s="33">
        <v>164238.29999999999</v>
      </c>
      <c r="E271" s="30">
        <f>D271/D273</f>
        <v>8.2165744961481477E-2</v>
      </c>
      <c r="F271" s="38">
        <v>-5942.69</v>
      </c>
      <c r="G271" s="33">
        <f>B271+D271</f>
        <v>301402.94</v>
      </c>
      <c r="H271" s="34">
        <f>G271/G273</f>
        <v>5.982282161537756E-2</v>
      </c>
    </row>
    <row r="272" spans="1:8" ht="13.5" thickBot="1" x14ac:dyDescent="0.25">
      <c r="A272" s="40" t="s">
        <v>29</v>
      </c>
      <c r="B272" s="41">
        <v>502156.98</v>
      </c>
      <c r="C272" s="136">
        <f>B272/B273</f>
        <v>0.16521613261536791</v>
      </c>
      <c r="D272" s="42">
        <v>1344310.66</v>
      </c>
      <c r="E272" s="30">
        <f>D272/D273</f>
        <v>0.67253671548329985</v>
      </c>
      <c r="F272" s="44">
        <v>-48690.19</v>
      </c>
      <c r="G272" s="33">
        <f>B272+D272</f>
        <v>1846467.64</v>
      </c>
      <c r="H272" s="34">
        <f>G272/G273</f>
        <v>0.36648913990781634</v>
      </c>
    </row>
    <row r="273" spans="1:8" ht="13.5" thickBot="1" x14ac:dyDescent="0.25">
      <c r="A273" s="46" t="s">
        <v>24</v>
      </c>
      <c r="B273" s="47">
        <f>SUM(B268:B272)</f>
        <v>3039394.35</v>
      </c>
      <c r="C273" s="137">
        <f>SUM(C268:C272)</f>
        <v>1</v>
      </c>
      <c r="D273" s="47">
        <v>1998865.8299999998</v>
      </c>
      <c r="E273" s="48">
        <f>SUM(E268:E272)</f>
        <v>1</v>
      </c>
      <c r="F273" s="49">
        <f>SUM(F268:F272)</f>
        <v>-74609.19</v>
      </c>
      <c r="G273" s="47">
        <f>SUM(G268:G272)</f>
        <v>5038260.18</v>
      </c>
      <c r="H273" s="50">
        <f>SUM(H268:H272)</f>
        <v>1</v>
      </c>
    </row>
    <row r="276" spans="1:8" ht="13.5" thickBot="1" x14ac:dyDescent="0.25">
      <c r="A276" s="22" t="s">
        <v>101</v>
      </c>
    </row>
    <row r="277" spans="1:8" ht="13.5" thickBot="1" x14ac:dyDescent="0.25">
      <c r="A277" s="23" t="s">
        <v>19</v>
      </c>
      <c r="B277" s="24" t="s">
        <v>20</v>
      </c>
      <c r="C277" s="133" t="s">
        <v>21</v>
      </c>
      <c r="D277" s="25" t="s">
        <v>22</v>
      </c>
      <c r="E277" s="26" t="s">
        <v>21</v>
      </c>
      <c r="F277" s="27" t="s">
        <v>23</v>
      </c>
      <c r="G277" s="25" t="s">
        <v>24</v>
      </c>
      <c r="H277" s="25" t="s">
        <v>21</v>
      </c>
    </row>
    <row r="278" spans="1:8" x14ac:dyDescent="0.2">
      <c r="A278" s="28" t="s">
        <v>25</v>
      </c>
      <c r="B278" s="29">
        <v>1742242.81</v>
      </c>
      <c r="C278" s="134">
        <f>B278/B283</f>
        <v>0.5798542508817125</v>
      </c>
      <c r="D278" s="31">
        <v>121175.96</v>
      </c>
      <c r="E278" s="30">
        <f>D278/D283</f>
        <v>6.4085154631691607E-2</v>
      </c>
      <c r="F278" s="32">
        <f>-30131.37+-6587.48</f>
        <v>-36718.85</v>
      </c>
      <c r="G278" s="33">
        <f t="shared" ref="G278:G283" si="79">B278+D278</f>
        <v>1863418.77</v>
      </c>
      <c r="H278" s="34">
        <f>G278/G283</f>
        <v>0.3806406307257531</v>
      </c>
    </row>
    <row r="279" spans="1:8" x14ac:dyDescent="0.2">
      <c r="A279" s="35" t="s">
        <v>26</v>
      </c>
      <c r="B279" s="36">
        <v>419553.84</v>
      </c>
      <c r="C279" s="135">
        <f>B279/B283</f>
        <v>0.1396361495661709</v>
      </c>
      <c r="D279" s="29">
        <v>216304.22</v>
      </c>
      <c r="E279" s="30">
        <f>D279/D283</f>
        <v>0.11439471481131604</v>
      </c>
      <c r="F279" s="38">
        <f>-59594.13+-1820.47</f>
        <v>-61414.6</v>
      </c>
      <c r="G279" s="33">
        <f t="shared" si="79"/>
        <v>635858.06000000006</v>
      </c>
      <c r="H279" s="34">
        <f>G279/G283</f>
        <v>0.12988675272947572</v>
      </c>
    </row>
    <row r="280" spans="1:8" x14ac:dyDescent="0.2">
      <c r="A280" s="35" t="s">
        <v>27</v>
      </c>
      <c r="B280" s="36">
        <v>209544.61</v>
      </c>
      <c r="C280" s="135">
        <f>B280/B283</f>
        <v>6.9740757235698156E-2</v>
      </c>
      <c r="D280" s="33">
        <v>159895.07</v>
      </c>
      <c r="E280" s="30">
        <f>D280/D283</f>
        <v>8.4562154785447166E-2</v>
      </c>
      <c r="F280" s="38">
        <f>-41086.94+-3652.51</f>
        <v>-44739.450000000004</v>
      </c>
      <c r="G280" s="33">
        <f t="shared" si="79"/>
        <v>369439.68</v>
      </c>
      <c r="H280" s="34">
        <f>G280/G283</f>
        <v>7.5465459012372407E-2</v>
      </c>
    </row>
    <row r="281" spans="1:8" x14ac:dyDescent="0.2">
      <c r="A281" s="35" t="s">
        <v>28</v>
      </c>
      <c r="B281" s="36">
        <v>115163.06</v>
      </c>
      <c r="C281" s="135">
        <f>B281/B283</f>
        <v>3.8328635654146112E-2</v>
      </c>
      <c r="D281" s="33">
        <v>122811.16</v>
      </c>
      <c r="E281" s="30">
        <f>D281/D283</f>
        <v>6.4949946995240801E-2</v>
      </c>
      <c r="F281" s="38">
        <f>-10458.99+-2769.95</f>
        <v>-13228.939999999999</v>
      </c>
      <c r="G281" s="33">
        <f t="shared" si="79"/>
        <v>237974.22</v>
      </c>
      <c r="H281" s="34">
        <f>G281/G283</f>
        <v>4.861100395445149E-2</v>
      </c>
    </row>
    <row r="282" spans="1:8" ht="13.5" thickBot="1" x14ac:dyDescent="0.25">
      <c r="A282" s="40" t="s">
        <v>29</v>
      </c>
      <c r="B282" s="41">
        <v>518117.63</v>
      </c>
      <c r="C282" s="136">
        <f>B282/B283</f>
        <v>0.17244020666227244</v>
      </c>
      <c r="D282" s="42">
        <v>1270672.1000000001</v>
      </c>
      <c r="E282" s="30">
        <f>D282/D283</f>
        <v>0.67200802877630428</v>
      </c>
      <c r="F282" s="44">
        <f>-24327.9+-23042.78</f>
        <v>-47370.68</v>
      </c>
      <c r="G282" s="33">
        <f t="shared" si="79"/>
        <v>1788789.73</v>
      </c>
      <c r="H282" s="34">
        <f>G282/G283</f>
        <v>0.3653961535779473</v>
      </c>
    </row>
    <row r="283" spans="1:8" ht="13.5" thickBot="1" x14ac:dyDescent="0.25">
      <c r="A283" s="46" t="s">
        <v>24</v>
      </c>
      <c r="B283" s="47">
        <f>SUM(B278:B282)</f>
        <v>3004621.9499999997</v>
      </c>
      <c r="C283" s="137">
        <f>SUM(C278:C282)</f>
        <v>1</v>
      </c>
      <c r="D283" s="47">
        <f>SUM(D278:D282)</f>
        <v>1890858.5100000002</v>
      </c>
      <c r="E283" s="48">
        <f>SUM(E278:E282)</f>
        <v>0.99999999999999989</v>
      </c>
      <c r="F283" s="49">
        <f>SUM(F278:F282)</f>
        <v>-203472.52</v>
      </c>
      <c r="G283" s="47">
        <f t="shared" si="79"/>
        <v>4895480.46</v>
      </c>
      <c r="H283" s="50">
        <f>SUM(H278:H282)</f>
        <v>1</v>
      </c>
    </row>
    <row r="286" spans="1:8" ht="13.5" thickBot="1" x14ac:dyDescent="0.25">
      <c r="A286" s="22" t="s">
        <v>100</v>
      </c>
    </row>
    <row r="287" spans="1:8" ht="13.5" thickBot="1" x14ac:dyDescent="0.25">
      <c r="A287" s="23" t="s">
        <v>19</v>
      </c>
      <c r="B287" s="24" t="s">
        <v>20</v>
      </c>
      <c r="C287" s="133" t="s">
        <v>21</v>
      </c>
      <c r="D287" s="25" t="s">
        <v>22</v>
      </c>
      <c r="E287" s="26" t="s">
        <v>21</v>
      </c>
      <c r="F287" s="27" t="s">
        <v>23</v>
      </c>
      <c r="G287" s="25" t="s">
        <v>24</v>
      </c>
      <c r="H287" s="25" t="s">
        <v>21</v>
      </c>
    </row>
    <row r="288" spans="1:8" x14ac:dyDescent="0.2">
      <c r="A288" s="28" t="s">
        <v>25</v>
      </c>
      <c r="B288" s="29">
        <v>1503298.37</v>
      </c>
      <c r="C288" s="134">
        <f>B288/B293</f>
        <v>0.53420909914196046</v>
      </c>
      <c r="D288" s="31">
        <v>99609.06</v>
      </c>
      <c r="E288" s="30">
        <f>D288/D293</f>
        <v>5.3839206484439871E-2</v>
      </c>
      <c r="F288" s="32">
        <f>-25468.62+-1102</f>
        <v>-26570.62</v>
      </c>
      <c r="G288" s="33">
        <f t="shared" ref="G288:G293" si="80">B288+D288</f>
        <v>1602907.4300000002</v>
      </c>
      <c r="H288" s="34">
        <f>G288/G293</f>
        <v>0.3436629311278816</v>
      </c>
    </row>
    <row r="289" spans="1:8" x14ac:dyDescent="0.2">
      <c r="A289" s="35" t="s">
        <v>26</v>
      </c>
      <c r="B289" s="36">
        <v>406893.32</v>
      </c>
      <c r="C289" s="135">
        <f>B289/B293</f>
        <v>0.14459279558992763</v>
      </c>
      <c r="D289" s="29">
        <v>216424.74</v>
      </c>
      <c r="E289" s="30">
        <f>D289/D293</f>
        <v>0.116978679100086</v>
      </c>
      <c r="F289" s="38">
        <f>-31927.92+-1344.26</f>
        <v>-33272.18</v>
      </c>
      <c r="G289" s="33">
        <f t="shared" si="80"/>
        <v>623318.06000000006</v>
      </c>
      <c r="H289" s="34">
        <f>G289/G293</f>
        <v>0.13363922801489839</v>
      </c>
    </row>
    <row r="290" spans="1:8" x14ac:dyDescent="0.2">
      <c r="A290" s="35" t="s">
        <v>27</v>
      </c>
      <c r="B290" s="36">
        <v>223360.34</v>
      </c>
      <c r="C290" s="135">
        <f>B290/B293</f>
        <v>7.9372883252339307E-2</v>
      </c>
      <c r="D290" s="33">
        <v>175654.96</v>
      </c>
      <c r="E290" s="30">
        <f>D290/D293</f>
        <v>9.4942404450519116E-2</v>
      </c>
      <c r="F290" s="38">
        <f>-8168.1+-1613.47</f>
        <v>-9781.57</v>
      </c>
      <c r="G290" s="33">
        <f t="shared" si="80"/>
        <v>399015.3</v>
      </c>
      <c r="H290" s="34">
        <f>G290/G293</f>
        <v>8.5548775304429781E-2</v>
      </c>
    </row>
    <row r="291" spans="1:8" x14ac:dyDescent="0.2">
      <c r="A291" s="35" t="s">
        <v>28</v>
      </c>
      <c r="B291" s="36">
        <v>136850.89000000001</v>
      </c>
      <c r="C291" s="135">
        <f>B291/B293</f>
        <v>4.8631058293288461E-2</v>
      </c>
      <c r="D291" s="33">
        <v>148732.25</v>
      </c>
      <c r="E291" s="30">
        <f>D291/D293</f>
        <v>8.0390541971235671E-2</v>
      </c>
      <c r="F291" s="38">
        <f>-3310.5+-1388.2</f>
        <v>-4698.7</v>
      </c>
      <c r="G291" s="33">
        <f t="shared" si="80"/>
        <v>285583.14</v>
      </c>
      <c r="H291" s="34">
        <f>G291/G293</f>
        <v>6.1228950054279904E-2</v>
      </c>
    </row>
    <row r="292" spans="1:8" ht="13.5" thickBot="1" x14ac:dyDescent="0.25">
      <c r="A292" s="40" t="s">
        <v>29</v>
      </c>
      <c r="B292" s="41">
        <f>90324.09+64326.4+389010.17</f>
        <v>543660.65999999992</v>
      </c>
      <c r="C292" s="136">
        <f>B292/B293</f>
        <v>0.19319416372248416</v>
      </c>
      <c r="D292" s="42">
        <v>1209700.24</v>
      </c>
      <c r="E292" s="30">
        <f>D292/D293</f>
        <v>0.65384916799371928</v>
      </c>
      <c r="F292" s="44">
        <f>-15898.54+-22431.11</f>
        <v>-38329.65</v>
      </c>
      <c r="G292" s="33">
        <f t="shared" si="80"/>
        <v>1753360.9</v>
      </c>
      <c r="H292" s="34">
        <f>G292/G293</f>
        <v>0.37592011549851034</v>
      </c>
    </row>
    <row r="293" spans="1:8" ht="13.5" thickBot="1" x14ac:dyDescent="0.25">
      <c r="A293" s="46" t="s">
        <v>24</v>
      </c>
      <c r="B293" s="47">
        <f>SUM(B288:B292)</f>
        <v>2814063.58</v>
      </c>
      <c r="C293" s="137">
        <f>SUM(C288:C292)</f>
        <v>1</v>
      </c>
      <c r="D293" s="47">
        <f>SUM(D288:D292)</f>
        <v>1850121.25</v>
      </c>
      <c r="E293" s="48">
        <f>SUM(E288:E292)</f>
        <v>1</v>
      </c>
      <c r="F293" s="49">
        <f>SUM(F288:F292)</f>
        <v>-112652.72</v>
      </c>
      <c r="G293" s="47">
        <f t="shared" si="80"/>
        <v>4664184.83</v>
      </c>
      <c r="H293" s="50">
        <f>SUM(H288:H292)</f>
        <v>0.99999999999999989</v>
      </c>
    </row>
    <row r="296" spans="1:8" ht="13.5" thickBot="1" x14ac:dyDescent="0.25">
      <c r="A296" s="22" t="s">
        <v>72</v>
      </c>
    </row>
    <row r="297" spans="1:8" ht="13.5" thickBot="1" x14ac:dyDescent="0.25">
      <c r="A297" s="23" t="s">
        <v>19</v>
      </c>
      <c r="B297" s="24" t="s">
        <v>20</v>
      </c>
      <c r="C297" s="133" t="s">
        <v>21</v>
      </c>
      <c r="D297" s="25" t="s">
        <v>22</v>
      </c>
      <c r="E297" s="26" t="s">
        <v>21</v>
      </c>
      <c r="F297" s="27" t="s">
        <v>23</v>
      </c>
      <c r="G297" s="25" t="s">
        <v>24</v>
      </c>
      <c r="H297" s="25" t="s">
        <v>21</v>
      </c>
    </row>
    <row r="298" spans="1:8" x14ac:dyDescent="0.2">
      <c r="A298" s="28" t="s">
        <v>25</v>
      </c>
      <c r="B298" s="29">
        <v>1474798.37</v>
      </c>
      <c r="C298" s="134">
        <v>0.55571224094117777</v>
      </c>
      <c r="D298" s="31">
        <v>91746.64</v>
      </c>
      <c r="E298" s="30">
        <v>5.1437481327300222E-2</v>
      </c>
      <c r="F298" s="32">
        <v>-34746.07</v>
      </c>
      <c r="G298" s="33">
        <v>1566545.01</v>
      </c>
      <c r="H298" s="34">
        <v>0.35302088554199401</v>
      </c>
    </row>
    <row r="299" spans="1:8" x14ac:dyDescent="0.2">
      <c r="A299" s="35" t="s">
        <v>26</v>
      </c>
      <c r="B299" s="36">
        <v>433595.76</v>
      </c>
      <c r="C299" s="135">
        <v>0.1633812976428724</v>
      </c>
      <c r="D299" s="29">
        <v>218316.97</v>
      </c>
      <c r="E299" s="30">
        <v>0.12239876106425002</v>
      </c>
      <c r="F299" s="38">
        <v>-42080.25</v>
      </c>
      <c r="G299" s="33">
        <v>651912.73</v>
      </c>
      <c r="H299" s="34">
        <v>0.14690852019674738</v>
      </c>
    </row>
    <row r="300" spans="1:8" x14ac:dyDescent="0.2">
      <c r="A300" s="35" t="s">
        <v>27</v>
      </c>
      <c r="B300" s="36">
        <v>167822.42</v>
      </c>
      <c r="C300" s="135">
        <v>6.3236422683577778E-2</v>
      </c>
      <c r="D300" s="33">
        <v>154612.26999999999</v>
      </c>
      <c r="E300" s="30">
        <v>8.6682910143592168E-2</v>
      </c>
      <c r="F300" s="38">
        <v>-6604.43</v>
      </c>
      <c r="G300" s="33">
        <v>322434.69</v>
      </c>
      <c r="H300" s="34">
        <v>7.2660650710098862E-2</v>
      </c>
    </row>
    <row r="301" spans="1:8" x14ac:dyDescent="0.2">
      <c r="A301" s="35" t="s">
        <v>28</v>
      </c>
      <c r="B301" s="36">
        <v>126508.18</v>
      </c>
      <c r="C301" s="135">
        <v>4.7668986917303056E-2</v>
      </c>
      <c r="D301" s="33">
        <v>124397.26</v>
      </c>
      <c r="E301" s="30">
        <v>6.9742954493127049E-2</v>
      </c>
      <c r="F301" s="38">
        <v>-5095.6499999999996</v>
      </c>
      <c r="G301" s="33">
        <v>250905.44</v>
      </c>
      <c r="H301" s="34">
        <v>5.6541535704807896E-2</v>
      </c>
    </row>
    <row r="302" spans="1:8" ht="13.5" thickBot="1" x14ac:dyDescent="0.25">
      <c r="A302" s="40" t="s">
        <v>29</v>
      </c>
      <c r="B302" s="41">
        <v>451163.85</v>
      </c>
      <c r="C302" s="136">
        <v>0.17000105181506903</v>
      </c>
      <c r="D302" s="42">
        <v>1194580.29</v>
      </c>
      <c r="E302" s="30">
        <v>0.66973789297173048</v>
      </c>
      <c r="F302" s="44">
        <v>-41294.639999999999</v>
      </c>
      <c r="G302" s="33">
        <v>1645744.1400000001</v>
      </c>
      <c r="H302" s="34">
        <v>0.37086840784635189</v>
      </c>
    </row>
    <row r="303" spans="1:8" ht="13.5" thickBot="1" x14ac:dyDescent="0.25">
      <c r="A303" s="46" t="s">
        <v>24</v>
      </c>
      <c r="B303" s="47">
        <v>2653888.58</v>
      </c>
      <c r="C303" s="137">
        <v>1</v>
      </c>
      <c r="D303" s="47">
        <v>1783653.4300000002</v>
      </c>
      <c r="E303" s="48">
        <v>1</v>
      </c>
      <c r="F303" s="49">
        <v>-129821.04</v>
      </c>
      <c r="G303" s="47">
        <v>4437542.01</v>
      </c>
      <c r="H303" s="50">
        <v>1</v>
      </c>
    </row>
    <row r="304" spans="1:8" x14ac:dyDescent="0.2">
      <c r="A304" s="17"/>
      <c r="B304" s="51"/>
      <c r="C304" s="138"/>
      <c r="D304" s="51"/>
      <c r="E304" s="52"/>
      <c r="F304" s="53"/>
      <c r="G304" s="51"/>
      <c r="H304" s="52"/>
    </row>
    <row r="305" spans="1:8" x14ac:dyDescent="0.2">
      <c r="A305" s="17"/>
      <c r="B305" s="51"/>
      <c r="C305" s="138"/>
      <c r="D305" s="51"/>
      <c r="E305" s="52"/>
      <c r="F305" s="53"/>
      <c r="G305" s="51"/>
      <c r="H305" s="52"/>
    </row>
    <row r="306" spans="1:8" ht="13.5" thickBot="1" x14ac:dyDescent="0.25">
      <c r="A306" s="22" t="s">
        <v>71</v>
      </c>
    </row>
    <row r="307" spans="1:8" ht="13.5" thickBot="1" x14ac:dyDescent="0.25">
      <c r="A307" s="23" t="s">
        <v>19</v>
      </c>
      <c r="B307" s="24" t="s">
        <v>20</v>
      </c>
      <c r="C307" s="133" t="s">
        <v>21</v>
      </c>
      <c r="D307" s="25" t="s">
        <v>22</v>
      </c>
      <c r="E307" s="26" t="s">
        <v>21</v>
      </c>
      <c r="F307" s="27" t="s">
        <v>23</v>
      </c>
      <c r="G307" s="25" t="s">
        <v>24</v>
      </c>
      <c r="H307" s="25" t="s">
        <v>21</v>
      </c>
    </row>
    <row r="308" spans="1:8" x14ac:dyDescent="0.2">
      <c r="A308" s="28" t="s">
        <v>25</v>
      </c>
      <c r="B308" s="29">
        <v>1381687.34</v>
      </c>
      <c r="C308" s="134">
        <f>B308/B313</f>
        <v>0.53837459763513951</v>
      </c>
      <c r="D308" s="31">
        <v>84395.45</v>
      </c>
      <c r="E308" s="30">
        <f>D308/D313</f>
        <v>5.0650977572758563E-2</v>
      </c>
      <c r="F308" s="32">
        <f>-25468.62+-1102</f>
        <v>-26570.62</v>
      </c>
      <c r="G308" s="33">
        <f t="shared" ref="G308:G313" si="81">B308+D308</f>
        <v>1466082.79</v>
      </c>
      <c r="H308" s="34">
        <f>G308/G313</f>
        <v>0.34637707218924785</v>
      </c>
    </row>
    <row r="309" spans="1:8" x14ac:dyDescent="0.2">
      <c r="A309" s="35" t="s">
        <v>26</v>
      </c>
      <c r="B309" s="36">
        <v>411226.52</v>
      </c>
      <c r="C309" s="135">
        <f>B309/B313</f>
        <v>0.16023445090109797</v>
      </c>
      <c r="D309" s="29">
        <v>165264.4</v>
      </c>
      <c r="E309" s="30">
        <f>D309/D313</f>
        <v>9.9185482368722488E-2</v>
      </c>
      <c r="F309" s="38">
        <f>-31927.92+-1344.26</f>
        <v>-33272.18</v>
      </c>
      <c r="G309" s="33">
        <f t="shared" si="81"/>
        <v>576490.92000000004</v>
      </c>
      <c r="H309" s="34">
        <f>G309/G313</f>
        <v>0.13620188326014379</v>
      </c>
    </row>
    <row r="310" spans="1:8" x14ac:dyDescent="0.2">
      <c r="A310" s="35" t="s">
        <v>27</v>
      </c>
      <c r="B310" s="36">
        <v>216081.16</v>
      </c>
      <c r="C310" s="135">
        <f>B310/B313</f>
        <v>8.4196043637147458E-2</v>
      </c>
      <c r="D310" s="33">
        <v>143335.17000000001</v>
      </c>
      <c r="E310" s="30">
        <f>D310/D313</f>
        <v>8.6024382606616073E-2</v>
      </c>
      <c r="F310" s="38">
        <f>-8168.1+-1613.47</f>
        <v>-9781.57</v>
      </c>
      <c r="G310" s="33">
        <f t="shared" si="81"/>
        <v>359416.33</v>
      </c>
      <c r="H310" s="34">
        <f>G310/G313</f>
        <v>8.4915788474950002E-2</v>
      </c>
    </row>
    <row r="311" spans="1:8" x14ac:dyDescent="0.2">
      <c r="A311" s="35" t="s">
        <v>28</v>
      </c>
      <c r="B311" s="36">
        <v>105391.47</v>
      </c>
      <c r="C311" s="135">
        <f>B311/B313</f>
        <v>4.1065795866252836E-2</v>
      </c>
      <c r="D311" s="33">
        <v>124681.46</v>
      </c>
      <c r="E311" s="30">
        <f>D311/D313</f>
        <v>7.4829126856943054E-2</v>
      </c>
      <c r="F311" s="38">
        <f>-3310.5+-1388.2</f>
        <v>-4698.7</v>
      </c>
      <c r="G311" s="33">
        <f t="shared" si="81"/>
        <v>230072.93</v>
      </c>
      <c r="H311" s="34">
        <f>G311/G313</f>
        <v>5.4357085716422442E-2</v>
      </c>
    </row>
    <row r="312" spans="1:8" ht="13.5" thickBot="1" x14ac:dyDescent="0.25">
      <c r="A312" s="40" t="s">
        <v>29</v>
      </c>
      <c r="B312" s="41">
        <v>452018.66</v>
      </c>
      <c r="C312" s="136">
        <f>B312/B313</f>
        <v>0.1761291119603621</v>
      </c>
      <c r="D312" s="42">
        <v>1148539.1399999999</v>
      </c>
      <c r="E312" s="30">
        <f>D312/D313</f>
        <v>0.68931003059495988</v>
      </c>
      <c r="F312" s="44">
        <f>-15898.54+-22431.11</f>
        <v>-38329.65</v>
      </c>
      <c r="G312" s="33">
        <f t="shared" si="81"/>
        <v>1600557.7999999998</v>
      </c>
      <c r="H312" s="34">
        <f>G312/G313</f>
        <v>0.37814817035923576</v>
      </c>
    </row>
    <row r="313" spans="1:8" ht="13.5" thickBot="1" x14ac:dyDescent="0.25">
      <c r="A313" s="46" t="s">
        <v>24</v>
      </c>
      <c r="B313" s="47">
        <f>SUM(B308:B312)</f>
        <v>2566405.1500000004</v>
      </c>
      <c r="C313" s="137">
        <f>SUM(C308:C312)</f>
        <v>0.99999999999999989</v>
      </c>
      <c r="D313" s="47">
        <f>SUM(D308:D312)</f>
        <v>1666215.6199999999</v>
      </c>
      <c r="E313" s="48">
        <f>SUM(E308:E312)</f>
        <v>1</v>
      </c>
      <c r="F313" s="49">
        <f>SUM(F308:F312)</f>
        <v>-112652.72</v>
      </c>
      <c r="G313" s="47">
        <f t="shared" si="81"/>
        <v>4232620.7700000005</v>
      </c>
      <c r="H313" s="50">
        <f>SUM(H308:H312)</f>
        <v>0.99999999999999978</v>
      </c>
    </row>
    <row r="314" spans="1:8" x14ac:dyDescent="0.2">
      <c r="A314" s="17"/>
      <c r="B314" s="51"/>
      <c r="C314" s="138"/>
      <c r="D314" s="51"/>
      <c r="E314" s="52"/>
      <c r="F314" s="53"/>
      <c r="G314" s="51"/>
      <c r="H314" s="52"/>
    </row>
    <row r="315" spans="1:8" x14ac:dyDescent="0.2">
      <c r="A315" s="17"/>
      <c r="B315" s="51"/>
      <c r="C315" s="138"/>
      <c r="D315" s="51"/>
      <c r="E315" s="52"/>
      <c r="F315" s="53"/>
      <c r="G315" s="51"/>
      <c r="H315" s="52"/>
    </row>
    <row r="316" spans="1:8" ht="13.5" thickBot="1" x14ac:dyDescent="0.25">
      <c r="A316" s="22" t="s">
        <v>70</v>
      </c>
    </row>
    <row r="317" spans="1:8" ht="13.5" thickBot="1" x14ac:dyDescent="0.25">
      <c r="A317" s="23" t="s">
        <v>19</v>
      </c>
      <c r="B317" s="24" t="s">
        <v>20</v>
      </c>
      <c r="C317" s="133" t="s">
        <v>21</v>
      </c>
      <c r="D317" s="25" t="s">
        <v>22</v>
      </c>
      <c r="E317" s="26" t="s">
        <v>21</v>
      </c>
      <c r="F317" s="27" t="s">
        <v>23</v>
      </c>
      <c r="G317" s="25" t="s">
        <v>24</v>
      </c>
      <c r="H317" s="25" t="s">
        <v>21</v>
      </c>
    </row>
    <row r="318" spans="1:8" x14ac:dyDescent="0.2">
      <c r="A318" s="28" t="s">
        <v>25</v>
      </c>
      <c r="B318" s="29">
        <v>1100155.71</v>
      </c>
      <c r="C318" s="134">
        <f>B318/B323</f>
        <v>0.51457576043486308</v>
      </c>
      <c r="D318" s="31">
        <v>67771.47</v>
      </c>
      <c r="E318" s="30">
        <v>6.1276180915825609E-2</v>
      </c>
      <c r="F318" s="32">
        <f>-26800.73+-2234.28</f>
        <v>-29035.01</v>
      </c>
      <c r="G318" s="33">
        <f t="shared" ref="G318:G323" si="82">B318+D318</f>
        <v>1167927.18</v>
      </c>
      <c r="H318" s="34">
        <f>G318/$G$323</f>
        <v>0.31722171438383878</v>
      </c>
    </row>
    <row r="319" spans="1:8" x14ac:dyDescent="0.2">
      <c r="A319" s="35" t="s">
        <v>26</v>
      </c>
      <c r="B319" s="36">
        <v>373404.3</v>
      </c>
      <c r="C319" s="135">
        <f>B319/B323</f>
        <v>0.1746523695469869</v>
      </c>
      <c r="D319" s="29">
        <v>145877.78</v>
      </c>
      <c r="E319" s="37">
        <v>8.942346573443849E-2</v>
      </c>
      <c r="F319" s="38">
        <f>-34937.94+-934.93</f>
        <v>-35872.870000000003</v>
      </c>
      <c r="G319" s="33">
        <f t="shared" si="82"/>
        <v>519282.07999999996</v>
      </c>
      <c r="H319" s="39">
        <f>G319/$G$323</f>
        <v>0.14104265615807118</v>
      </c>
    </row>
    <row r="320" spans="1:8" x14ac:dyDescent="0.2">
      <c r="A320" s="35" t="s">
        <v>27</v>
      </c>
      <c r="B320" s="36">
        <v>148436.23000000001</v>
      </c>
      <c r="C320" s="135">
        <f>B320/B323</f>
        <v>6.9428068439815901E-2</v>
      </c>
      <c r="D320" s="33">
        <v>140170.76</v>
      </c>
      <c r="E320" s="37">
        <v>8.0228146353748003E-2</v>
      </c>
      <c r="F320" s="38">
        <f>-13154.92+-935.44</f>
        <v>-14090.36</v>
      </c>
      <c r="G320" s="33">
        <f t="shared" si="82"/>
        <v>288606.99</v>
      </c>
      <c r="H320" s="39">
        <f>G320/$G$323</f>
        <v>7.8388794882707849E-2</v>
      </c>
    </row>
    <row r="321" spans="1:12" x14ac:dyDescent="0.2">
      <c r="A321" s="35" t="s">
        <v>28</v>
      </c>
      <c r="B321" s="36">
        <v>124352.32000000001</v>
      </c>
      <c r="C321" s="135">
        <f>B321/B323</f>
        <v>5.8163302743608397E-2</v>
      </c>
      <c r="D321" s="33">
        <v>94316.479999999996</v>
      </c>
      <c r="E321" s="37">
        <v>9.5461243947772556E-2</v>
      </c>
      <c r="F321" s="38">
        <f>-5275.83+-2309.93</f>
        <v>-7585.76</v>
      </c>
      <c r="G321" s="33">
        <f t="shared" si="82"/>
        <v>218668.79999999999</v>
      </c>
      <c r="H321" s="39">
        <f>G321/$G$323</f>
        <v>5.9392822434577441E-2</v>
      </c>
    </row>
    <row r="322" spans="1:12" ht="13.5" thickBot="1" x14ac:dyDescent="0.25">
      <c r="A322" s="40" t="s">
        <v>29</v>
      </c>
      <c r="B322" s="41">
        <f>57778.3+48342.84+285516.18</f>
        <v>391637.32</v>
      </c>
      <c r="C322" s="136">
        <f>B322/B323</f>
        <v>0.1831804988347257</v>
      </c>
      <c r="D322" s="42">
        <v>1095615.44</v>
      </c>
      <c r="E322" s="43">
        <v>0.67361096304821544</v>
      </c>
      <c r="F322" s="44">
        <f>-23669.44+-26467.94</f>
        <v>-50137.38</v>
      </c>
      <c r="G322" s="33">
        <f t="shared" si="82"/>
        <v>1487252.76</v>
      </c>
      <c r="H322" s="45">
        <f>G322/$G$323</f>
        <v>0.40395401214080484</v>
      </c>
      <c r="I322" s="119"/>
    </row>
    <row r="323" spans="1:12" ht="13.5" thickBot="1" x14ac:dyDescent="0.25">
      <c r="A323" s="46" t="s">
        <v>24</v>
      </c>
      <c r="B323" s="47">
        <f>SUM(B318:B322)</f>
        <v>2137985.88</v>
      </c>
      <c r="C323" s="137">
        <f>B323/B323</f>
        <v>1</v>
      </c>
      <c r="D323" s="47">
        <f>SUM(D318:D322)</f>
        <v>1543751.93</v>
      </c>
      <c r="E323" s="48">
        <v>1</v>
      </c>
      <c r="F323" s="49">
        <f>SUM(F318:F322)</f>
        <v>-136721.38</v>
      </c>
      <c r="G323" s="47">
        <f t="shared" si="82"/>
        <v>3681737.8099999996</v>
      </c>
      <c r="H323" s="50">
        <f>SUM(H318:H322)</f>
        <v>1</v>
      </c>
      <c r="L323" s="452"/>
    </row>
    <row r="324" spans="1:12" x14ac:dyDescent="0.2">
      <c r="A324" s="17"/>
      <c r="B324" s="51"/>
      <c r="C324" s="138"/>
      <c r="D324" s="51"/>
      <c r="E324" s="52"/>
      <c r="F324" s="53"/>
      <c r="G324" s="51"/>
      <c r="H324" s="52"/>
      <c r="K324" s="452"/>
    </row>
    <row r="326" spans="1:12" ht="13.5" thickBot="1" x14ac:dyDescent="0.25">
      <c r="A326" s="22" t="s">
        <v>69</v>
      </c>
    </row>
    <row r="327" spans="1:12" ht="13.5" thickBot="1" x14ac:dyDescent="0.25">
      <c r="A327" s="23" t="s">
        <v>19</v>
      </c>
      <c r="B327" s="24" t="s">
        <v>20</v>
      </c>
      <c r="C327" s="133" t="s">
        <v>21</v>
      </c>
      <c r="D327" s="25" t="s">
        <v>22</v>
      </c>
      <c r="E327" s="26" t="s">
        <v>21</v>
      </c>
      <c r="F327" s="27" t="s">
        <v>23</v>
      </c>
      <c r="G327" s="25" t="s">
        <v>24</v>
      </c>
      <c r="H327" s="25" t="s">
        <v>21</v>
      </c>
    </row>
    <row r="328" spans="1:12" x14ac:dyDescent="0.2">
      <c r="A328" s="28" t="s">
        <v>25</v>
      </c>
      <c r="B328" s="29">
        <v>1090102.92</v>
      </c>
      <c r="C328" s="134">
        <f>B328/B333</f>
        <v>0.53123055160949706</v>
      </c>
      <c r="D328" s="31">
        <v>73764.34</v>
      </c>
      <c r="E328" s="30">
        <v>6.1276180915825609E-2</v>
      </c>
      <c r="F328" s="32">
        <f>-23247.15+-1077.37</f>
        <v>-24324.52</v>
      </c>
      <c r="G328" s="33">
        <f t="shared" ref="G328:G333" si="83">B328+D328</f>
        <v>1163867.26</v>
      </c>
      <c r="H328" s="34">
        <v>0.35623044278777427</v>
      </c>
    </row>
    <row r="329" spans="1:12" x14ac:dyDescent="0.2">
      <c r="A329" s="35" t="s">
        <v>26</v>
      </c>
      <c r="B329" s="36">
        <v>303676.18</v>
      </c>
      <c r="C329" s="135">
        <f>B329/B333</f>
        <v>0.14798792082133394</v>
      </c>
      <c r="D329" s="29">
        <v>137522.25</v>
      </c>
      <c r="E329" s="37">
        <v>8.942346573443849E-2</v>
      </c>
      <c r="F329" s="38">
        <f>-50157.71+-2054.61</f>
        <v>-52212.32</v>
      </c>
      <c r="G329" s="33">
        <f t="shared" si="83"/>
        <v>441198.43</v>
      </c>
      <c r="H329" s="39">
        <v>0.11335617687508254</v>
      </c>
    </row>
    <row r="330" spans="1:12" x14ac:dyDescent="0.2">
      <c r="A330" s="35" t="s">
        <v>27</v>
      </c>
      <c r="B330" s="36">
        <v>183906.48</v>
      </c>
      <c r="C330" s="135">
        <f>B330/B333</f>
        <v>8.9621575194900827E-2</v>
      </c>
      <c r="D330" s="33">
        <v>110378.37</v>
      </c>
      <c r="E330" s="37">
        <v>8.0228146353748003E-2</v>
      </c>
      <c r="F330" s="38">
        <f>-7261.86+-3410.75</f>
        <v>-10672.61</v>
      </c>
      <c r="G330" s="33">
        <f t="shared" si="83"/>
        <v>294284.84999999998</v>
      </c>
      <c r="H330" s="39">
        <v>7.4334459459368896E-2</v>
      </c>
    </row>
    <row r="331" spans="1:12" x14ac:dyDescent="0.2">
      <c r="A331" s="35" t="s">
        <v>28</v>
      </c>
      <c r="B331" s="36">
        <v>87084</v>
      </c>
      <c r="C331" s="135">
        <f>B331/B333</f>
        <v>4.2437902428847221E-2</v>
      </c>
      <c r="D331" s="33">
        <v>105084.46</v>
      </c>
      <c r="E331" s="37">
        <v>9.5461243947772556E-2</v>
      </c>
      <c r="F331" s="38">
        <f>-3415.93+-2795.45</f>
        <v>-6211.3799999999992</v>
      </c>
      <c r="G331" s="33">
        <f t="shared" si="83"/>
        <v>192168.46000000002</v>
      </c>
      <c r="H331" s="39">
        <v>6.1958184112929526E-2</v>
      </c>
    </row>
    <row r="332" spans="1:12" ht="13.5" thickBot="1" x14ac:dyDescent="0.25">
      <c r="A332" s="40" t="s">
        <v>29</v>
      </c>
      <c r="B332" s="41">
        <v>387263.98</v>
      </c>
      <c r="C332" s="136">
        <f>B332/B333</f>
        <v>0.18872204994542097</v>
      </c>
      <c r="D332" s="42">
        <v>1037971.47</v>
      </c>
      <c r="E332" s="43">
        <v>0.67361096304821544</v>
      </c>
      <c r="F332" s="44">
        <f>-23698.17+-33026.11</f>
        <v>-56724.28</v>
      </c>
      <c r="G332" s="33">
        <f t="shared" si="83"/>
        <v>1425235.45</v>
      </c>
      <c r="H332" s="45">
        <v>0.39412073676484466</v>
      </c>
      <c r="I332" s="119"/>
    </row>
    <row r="333" spans="1:12" ht="13.5" thickBot="1" x14ac:dyDescent="0.25">
      <c r="A333" s="46" t="s">
        <v>24</v>
      </c>
      <c r="B333" s="47">
        <f>SUM(B328:B332)</f>
        <v>2052033.5599999998</v>
      </c>
      <c r="C333" s="137">
        <f>B333/B333</f>
        <v>1</v>
      </c>
      <c r="D333" s="47">
        <f>SUM(D328:D332)</f>
        <v>1464720.89</v>
      </c>
      <c r="E333" s="48">
        <v>1</v>
      </c>
      <c r="F333" s="49">
        <f>SUM(F328:F332)</f>
        <v>-150145.10999999999</v>
      </c>
      <c r="G333" s="47">
        <f t="shared" si="83"/>
        <v>3516754.4499999997</v>
      </c>
      <c r="H333" s="50">
        <v>1</v>
      </c>
      <c r="L333" s="452"/>
    </row>
    <row r="334" spans="1:12" x14ac:dyDescent="0.2">
      <c r="A334" s="17"/>
      <c r="B334" s="51"/>
      <c r="C334" s="138"/>
      <c r="D334" s="51"/>
      <c r="E334" s="52"/>
      <c r="F334" s="53"/>
      <c r="G334" s="51"/>
      <c r="H334" s="52"/>
      <c r="K334" s="452"/>
    </row>
    <row r="336" spans="1:12" ht="13.5" thickBot="1" x14ac:dyDescent="0.25">
      <c r="A336" s="22" t="s">
        <v>68</v>
      </c>
    </row>
    <row r="337" spans="1:12" ht="13.5" thickBot="1" x14ac:dyDescent="0.25">
      <c r="A337" s="23" t="s">
        <v>19</v>
      </c>
      <c r="B337" s="24" t="s">
        <v>20</v>
      </c>
      <c r="C337" s="133" t="s">
        <v>21</v>
      </c>
      <c r="D337" s="25" t="s">
        <v>22</v>
      </c>
      <c r="E337" s="26" t="s">
        <v>21</v>
      </c>
      <c r="F337" s="27" t="s">
        <v>23</v>
      </c>
      <c r="G337" s="25" t="s">
        <v>24</v>
      </c>
      <c r="H337" s="25" t="s">
        <v>21</v>
      </c>
    </row>
    <row r="338" spans="1:12" x14ac:dyDescent="0.2">
      <c r="A338" s="28" t="s">
        <v>25</v>
      </c>
      <c r="B338" s="29">
        <v>969149</v>
      </c>
      <c r="C338" s="134">
        <f>B338/B343</f>
        <v>0.50759297335779141</v>
      </c>
      <c r="D338" s="31">
        <v>94655.85</v>
      </c>
      <c r="E338" s="30">
        <v>6.1276180915825609E-2</v>
      </c>
      <c r="F338" s="32">
        <f>-2813.03+-28000.08</f>
        <v>-30813.11</v>
      </c>
      <c r="G338" s="33">
        <f t="shared" ref="G338:G343" si="84">B338+D338</f>
        <v>1063804.8500000001</v>
      </c>
      <c r="H338" s="34">
        <v>0.35623044278777427</v>
      </c>
    </row>
    <row r="339" spans="1:12" x14ac:dyDescent="0.2">
      <c r="A339" s="35" t="s">
        <v>26</v>
      </c>
      <c r="B339" s="36">
        <v>305304.46000000002</v>
      </c>
      <c r="C339" s="135">
        <f>B339/B343</f>
        <v>0.159903584103987</v>
      </c>
      <c r="D339" s="29">
        <v>102592.52</v>
      </c>
      <c r="E339" s="37">
        <v>8.942346573443849E-2</v>
      </c>
      <c r="F339" s="38">
        <f>-2507.13+-35349.33</f>
        <v>-37856.46</v>
      </c>
      <c r="G339" s="33">
        <f t="shared" si="84"/>
        <v>407896.98000000004</v>
      </c>
      <c r="H339" s="39">
        <v>0.11335617687508254</v>
      </c>
    </row>
    <row r="340" spans="1:12" x14ac:dyDescent="0.2">
      <c r="A340" s="35" t="s">
        <v>27</v>
      </c>
      <c r="B340" s="36">
        <v>133597.73000000001</v>
      </c>
      <c r="C340" s="135">
        <f>B340/B343</f>
        <v>6.9971974386344532E-2</v>
      </c>
      <c r="D340" s="33">
        <v>107533.67</v>
      </c>
      <c r="E340" s="37">
        <v>8.0228146353748003E-2</v>
      </c>
      <c r="F340" s="38">
        <f>-3766.67+-16060.68</f>
        <v>-19827.349999999999</v>
      </c>
      <c r="G340" s="33">
        <f t="shared" si="84"/>
        <v>241131.40000000002</v>
      </c>
      <c r="H340" s="39">
        <v>7.4334459459368896E-2</v>
      </c>
    </row>
    <row r="341" spans="1:12" x14ac:dyDescent="0.2">
      <c r="A341" s="35" t="s">
        <v>28</v>
      </c>
      <c r="B341" s="36">
        <v>84769.34</v>
      </c>
      <c r="C341" s="135">
        <f>B341/B343</f>
        <v>4.4398045440048495E-2</v>
      </c>
      <c r="D341" s="33">
        <v>94565.39</v>
      </c>
      <c r="E341" s="37">
        <v>9.5461243947772556E-2</v>
      </c>
      <c r="F341" s="38">
        <f>-2346.2+-7847.59</f>
        <v>-10193.790000000001</v>
      </c>
      <c r="G341" s="33">
        <f t="shared" si="84"/>
        <v>179334.72999999998</v>
      </c>
      <c r="H341" s="39">
        <v>6.1958184112929526E-2</v>
      </c>
    </row>
    <row r="342" spans="1:12" ht="13.5" thickBot="1" x14ac:dyDescent="0.25">
      <c r="A342" s="40" t="s">
        <v>29</v>
      </c>
      <c r="B342" s="41">
        <v>416482.89</v>
      </c>
      <c r="C342" s="136">
        <f>B342/B343</f>
        <v>0.21813342271182862</v>
      </c>
      <c r="D342" s="42">
        <v>981391.27</v>
      </c>
      <c r="E342" s="43">
        <v>0.67361096304821544</v>
      </c>
      <c r="F342" s="44">
        <f>-33976.91+-20645.05</f>
        <v>-54621.960000000006</v>
      </c>
      <c r="G342" s="33">
        <f t="shared" si="84"/>
        <v>1397874.1600000001</v>
      </c>
      <c r="H342" s="45">
        <v>0.39412073676484466</v>
      </c>
      <c r="I342" s="119"/>
    </row>
    <row r="343" spans="1:12" ht="13.5" thickBot="1" x14ac:dyDescent="0.25">
      <c r="A343" s="46" t="s">
        <v>24</v>
      </c>
      <c r="B343" s="47">
        <f>SUM(B338:B342)</f>
        <v>1909303.42</v>
      </c>
      <c r="C343" s="137">
        <f>B343/B343</f>
        <v>1</v>
      </c>
      <c r="D343" s="47">
        <f>SUM(D338:D342)</f>
        <v>1380738.7</v>
      </c>
      <c r="E343" s="48">
        <v>1</v>
      </c>
      <c r="F343" s="49">
        <f>SUM(F338:F342)</f>
        <v>-153312.67000000004</v>
      </c>
      <c r="G343" s="47">
        <f t="shared" si="84"/>
        <v>3290042.12</v>
      </c>
      <c r="H343" s="50">
        <v>1</v>
      </c>
      <c r="L343" s="452"/>
    </row>
    <row r="344" spans="1:12" x14ac:dyDescent="0.2">
      <c r="A344" s="17"/>
      <c r="B344" s="51"/>
      <c r="C344" s="138"/>
      <c r="D344" s="51"/>
      <c r="E344" s="52"/>
      <c r="F344" s="53"/>
      <c r="G344" s="51"/>
      <c r="H344" s="52"/>
      <c r="K344" s="452"/>
    </row>
    <row r="346" spans="1:12" ht="13.5" thickBot="1" x14ac:dyDescent="0.25">
      <c r="A346" s="22" t="s">
        <v>67</v>
      </c>
    </row>
    <row r="347" spans="1:12" ht="13.5" thickBot="1" x14ac:dyDescent="0.25">
      <c r="A347" s="23" t="s">
        <v>19</v>
      </c>
      <c r="B347" s="24" t="s">
        <v>20</v>
      </c>
      <c r="C347" s="133" t="s">
        <v>21</v>
      </c>
      <c r="D347" s="25" t="s">
        <v>22</v>
      </c>
      <c r="E347" s="26" t="s">
        <v>21</v>
      </c>
      <c r="F347" s="27" t="s">
        <v>23</v>
      </c>
      <c r="G347" s="25" t="s">
        <v>24</v>
      </c>
      <c r="H347" s="25" t="s">
        <v>21</v>
      </c>
    </row>
    <row r="348" spans="1:12" x14ac:dyDescent="0.2">
      <c r="A348" s="28" t="s">
        <v>25</v>
      </c>
      <c r="B348" s="29">
        <v>1116189.97</v>
      </c>
      <c r="C348" s="134">
        <v>0.5434901254109622</v>
      </c>
      <c r="D348" s="31">
        <v>79896.5</v>
      </c>
      <c r="E348" s="30">
        <v>6.1276180915825609E-2</v>
      </c>
      <c r="F348" s="32">
        <v>-20345.419999999998</v>
      </c>
      <c r="G348" s="33">
        <f>B348+D348</f>
        <v>1196086.47</v>
      </c>
      <c r="H348" s="34">
        <v>0.35623044278777427</v>
      </c>
    </row>
    <row r="349" spans="1:12" x14ac:dyDescent="0.2">
      <c r="A349" s="35" t="s">
        <v>26</v>
      </c>
      <c r="B349" s="36">
        <v>264009.92</v>
      </c>
      <c r="C349" s="135">
        <v>0.12855050518912842</v>
      </c>
      <c r="D349" s="29">
        <v>116597.05</v>
      </c>
      <c r="E349" s="37">
        <v>8.942346573443849E-2</v>
      </c>
      <c r="F349" s="38">
        <v>-27218.91</v>
      </c>
      <c r="G349" s="33">
        <f>B349+D349</f>
        <v>380606.97</v>
      </c>
      <c r="H349" s="39">
        <v>0.11335617687508254</v>
      </c>
    </row>
    <row r="350" spans="1:12" x14ac:dyDescent="0.2">
      <c r="A350" s="35" t="s">
        <v>27</v>
      </c>
      <c r="B350" s="36">
        <v>144979.37</v>
      </c>
      <c r="C350" s="135">
        <v>7.0592693090856459E-2</v>
      </c>
      <c r="D350" s="33">
        <v>104607.5</v>
      </c>
      <c r="E350" s="37">
        <v>8.0228146353748003E-2</v>
      </c>
      <c r="F350" s="38">
        <v>-14587.490000000002</v>
      </c>
      <c r="G350" s="33">
        <f>B350+D350</f>
        <v>249586.87</v>
      </c>
      <c r="H350" s="39">
        <v>7.4334459459368896E-2</v>
      </c>
    </row>
    <row r="351" spans="1:12" x14ac:dyDescent="0.2">
      <c r="A351" s="35" t="s">
        <v>28</v>
      </c>
      <c r="B351" s="36">
        <v>83562.48</v>
      </c>
      <c r="C351" s="135">
        <v>4.0687861345726856E-2</v>
      </c>
      <c r="D351" s="33">
        <v>124469.56</v>
      </c>
      <c r="E351" s="37">
        <v>9.5461243947772556E-2</v>
      </c>
      <c r="F351" s="38">
        <v>-11691.98</v>
      </c>
      <c r="G351" s="33">
        <f>B351+D351</f>
        <v>208032.03999999998</v>
      </c>
      <c r="H351" s="39">
        <v>6.1958184112929526E-2</v>
      </c>
    </row>
    <row r="352" spans="1:12" ht="13.5" thickBot="1" x14ac:dyDescent="0.25">
      <c r="A352" s="40" t="s">
        <v>29</v>
      </c>
      <c r="B352" s="41">
        <v>445002.97</v>
      </c>
      <c r="C352" s="136">
        <v>0.21667881496332619</v>
      </c>
      <c r="D352" s="42">
        <v>878304.71</v>
      </c>
      <c r="E352" s="43">
        <v>0.67361096304821544</v>
      </c>
      <c r="F352" s="44">
        <v>-59431.33</v>
      </c>
      <c r="G352" s="33">
        <f>B352+D352</f>
        <v>1323307.68</v>
      </c>
      <c r="H352" s="45">
        <v>0.39412073676484466</v>
      </c>
      <c r="I352" s="119"/>
    </row>
    <row r="353" spans="1:12" ht="13.5" thickBot="1" x14ac:dyDescent="0.25">
      <c r="A353" s="46" t="s">
        <v>24</v>
      </c>
      <c r="B353" s="47">
        <f>SUM(B348:B352)</f>
        <v>2053744.7099999997</v>
      </c>
      <c r="C353" s="137">
        <v>1</v>
      </c>
      <c r="D353" s="47">
        <f>SUM(D348:D352)</f>
        <v>1303875.3199999998</v>
      </c>
      <c r="E353" s="48">
        <v>1</v>
      </c>
      <c r="F353" s="49">
        <f>SUM(F348:F352)</f>
        <v>-133275.13</v>
      </c>
      <c r="G353" s="47">
        <f>SUM(G348:G352)</f>
        <v>3357620.0300000003</v>
      </c>
      <c r="H353" s="50">
        <v>1</v>
      </c>
      <c r="L353" s="452"/>
    </row>
    <row r="354" spans="1:12" x14ac:dyDescent="0.2">
      <c r="A354" s="17"/>
      <c r="B354" s="51"/>
      <c r="C354" s="138"/>
      <c r="D354" s="51"/>
      <c r="E354" s="52"/>
      <c r="F354" s="53"/>
      <c r="G354" s="51"/>
      <c r="H354" s="52"/>
      <c r="K354" s="452"/>
    </row>
    <row r="356" spans="1:12" ht="13.5" thickBot="1" x14ac:dyDescent="0.25">
      <c r="A356" s="22" t="s">
        <v>66</v>
      </c>
    </row>
    <row r="357" spans="1:12" ht="13.5" thickBot="1" x14ac:dyDescent="0.25">
      <c r="A357" s="23" t="s">
        <v>19</v>
      </c>
      <c r="B357" s="24" t="s">
        <v>20</v>
      </c>
      <c r="C357" s="133" t="s">
        <v>21</v>
      </c>
      <c r="D357" s="25" t="s">
        <v>22</v>
      </c>
      <c r="E357" s="26" t="s">
        <v>21</v>
      </c>
      <c r="F357" s="27" t="s">
        <v>23</v>
      </c>
      <c r="G357" s="25" t="s">
        <v>24</v>
      </c>
      <c r="H357" s="25" t="s">
        <v>21</v>
      </c>
    </row>
    <row r="358" spans="1:12" x14ac:dyDescent="0.2">
      <c r="A358" s="28" t="s">
        <v>25</v>
      </c>
      <c r="B358" s="29">
        <v>930581.01</v>
      </c>
      <c r="C358" s="134">
        <f>B358/B363</f>
        <v>0.46175174353171522</v>
      </c>
      <c r="D358" s="31">
        <v>73882.45</v>
      </c>
      <c r="E358" s="30">
        <f>D358/D363</f>
        <v>5.9116843647382858E-2</v>
      </c>
      <c r="F358" s="32">
        <f>-18340.36+-2317.46</f>
        <v>-20657.82</v>
      </c>
      <c r="G358" s="33">
        <f>B358+D358</f>
        <v>1004463.46</v>
      </c>
      <c r="H358" s="34">
        <f>G358/G363</f>
        <v>0.30763659725656822</v>
      </c>
    </row>
    <row r="359" spans="1:12" x14ac:dyDescent="0.2">
      <c r="A359" s="35" t="s">
        <v>26</v>
      </c>
      <c r="B359" s="36">
        <v>321594.74</v>
      </c>
      <c r="C359" s="135">
        <f>B359/B363</f>
        <v>0.15957442749194789</v>
      </c>
      <c r="D359" s="29">
        <v>113257.72</v>
      </c>
      <c r="E359" s="37">
        <f>D359/D363</f>
        <v>9.0622860031023156E-2</v>
      </c>
      <c r="F359" s="38">
        <f>-39691.12+-2070.29</f>
        <v>-41761.410000000003</v>
      </c>
      <c r="G359" s="33">
        <f>B359+D359</f>
        <v>434852.45999999996</v>
      </c>
      <c r="H359" s="39">
        <f>G359/G363</f>
        <v>0.13318207822417744</v>
      </c>
    </row>
    <row r="360" spans="1:12" x14ac:dyDescent="0.2">
      <c r="A360" s="35" t="s">
        <v>27</v>
      </c>
      <c r="B360" s="36">
        <v>177185.79</v>
      </c>
      <c r="C360" s="135">
        <f>B360/B363</f>
        <v>8.7919102778106717E-2</v>
      </c>
      <c r="D360" s="33">
        <v>119981.26</v>
      </c>
      <c r="E360" s="37">
        <f>D360/D363</f>
        <v>9.6002682477854914E-2</v>
      </c>
      <c r="F360" s="38">
        <f>-15902.54+-3072.84</f>
        <v>-18975.38</v>
      </c>
      <c r="G360" s="33">
        <f>B360+D360</f>
        <v>297167.05</v>
      </c>
      <c r="H360" s="39">
        <f>G360/G363</f>
        <v>9.1013226184228219E-2</v>
      </c>
    </row>
    <row r="361" spans="1:12" x14ac:dyDescent="0.2">
      <c r="A361" s="35" t="s">
        <v>28</v>
      </c>
      <c r="B361" s="36">
        <v>126919.08</v>
      </c>
      <c r="C361" s="135">
        <f>B361/B363</f>
        <v>6.2976899214224502E-2</v>
      </c>
      <c r="D361" s="33">
        <v>101230.23</v>
      </c>
      <c r="E361" s="37">
        <f>D361/D363</f>
        <v>8.099909625761742E-2</v>
      </c>
      <c r="F361" s="38">
        <f>-7857.94+-2839.94</f>
        <v>-10697.88</v>
      </c>
      <c r="G361" s="33">
        <f>B361+D361</f>
        <v>228149.31</v>
      </c>
      <c r="H361" s="39">
        <f>G361/G363</f>
        <v>6.9875192269148276E-2</v>
      </c>
    </row>
    <row r="362" spans="1:12" ht="13.5" thickBot="1" x14ac:dyDescent="0.25">
      <c r="A362" s="40" t="s">
        <v>29</v>
      </c>
      <c r="B362" s="41">
        <v>459046.93</v>
      </c>
      <c r="C362" s="136">
        <f>B362/B363</f>
        <v>0.22777782698400564</v>
      </c>
      <c r="D362" s="42">
        <v>841418.21</v>
      </c>
      <c r="E362" s="43">
        <f>D362/D363</f>
        <v>0.67325851758612176</v>
      </c>
      <c r="F362" s="44">
        <f>-31263.57+-31094.27</f>
        <v>-62357.84</v>
      </c>
      <c r="G362" s="33">
        <f>B362+D362</f>
        <v>1300465.1399999999</v>
      </c>
      <c r="H362" s="45">
        <f>G362/G363</f>
        <v>0.39829290606587781</v>
      </c>
      <c r="I362" s="119"/>
    </row>
    <row r="363" spans="1:12" ht="13.5" thickBot="1" x14ac:dyDescent="0.25">
      <c r="A363" s="46" t="s">
        <v>24</v>
      </c>
      <c r="B363" s="47">
        <f>SUM(B358:B362)</f>
        <v>2015327.55</v>
      </c>
      <c r="C363" s="137">
        <f>B363/B363</f>
        <v>1</v>
      </c>
      <c r="D363" s="47">
        <f>SUM(D358:D362)</f>
        <v>1249769.8699999999</v>
      </c>
      <c r="E363" s="48">
        <f>D363/D363</f>
        <v>1</v>
      </c>
      <c r="F363" s="49">
        <f>SUM(F358:F362)</f>
        <v>-154450.33000000002</v>
      </c>
      <c r="G363" s="47">
        <f>SUM(G358:G362)</f>
        <v>3265097.42</v>
      </c>
      <c r="H363" s="50">
        <f>G363/G363</f>
        <v>1</v>
      </c>
    </row>
    <row r="366" spans="1:12" ht="13.5" thickBot="1" x14ac:dyDescent="0.25">
      <c r="A366" s="22" t="s">
        <v>65</v>
      </c>
    </row>
    <row r="367" spans="1:12" ht="13.5" thickBot="1" x14ac:dyDescent="0.25">
      <c r="A367" s="23" t="s">
        <v>19</v>
      </c>
      <c r="B367" s="24" t="s">
        <v>20</v>
      </c>
      <c r="C367" s="133" t="s">
        <v>21</v>
      </c>
      <c r="D367" s="25" t="s">
        <v>22</v>
      </c>
      <c r="E367" s="26" t="s">
        <v>21</v>
      </c>
      <c r="F367" s="27" t="s">
        <v>23</v>
      </c>
      <c r="G367" s="25" t="s">
        <v>24</v>
      </c>
      <c r="H367" s="25" t="s">
        <v>21</v>
      </c>
    </row>
    <row r="368" spans="1:12" x14ac:dyDescent="0.2">
      <c r="A368" s="28" t="s">
        <v>25</v>
      </c>
      <c r="B368" s="29">
        <v>1139249.28</v>
      </c>
      <c r="C368" s="134">
        <f>B368/B373</f>
        <v>0.50565838414354436</v>
      </c>
      <c r="D368" s="31">
        <v>82068.53</v>
      </c>
      <c r="E368" s="30">
        <f>D368/D373</f>
        <v>6.8313472876776402E-2</v>
      </c>
      <c r="F368" s="32">
        <f>-3569.97+-19789.57</f>
        <v>-23359.54</v>
      </c>
      <c r="G368" s="33">
        <f>B368+D368</f>
        <v>1221317.81</v>
      </c>
      <c r="H368" s="34">
        <f>G368/G373</f>
        <v>0.35355897089756783</v>
      </c>
    </row>
    <row r="369" spans="1:9" x14ac:dyDescent="0.2">
      <c r="A369" s="35" t="s">
        <v>26</v>
      </c>
      <c r="B369" s="36">
        <v>322809.32</v>
      </c>
      <c r="C369" s="135">
        <f>B369/B373</f>
        <v>0.143279650909831</v>
      </c>
      <c r="D369" s="29">
        <v>158521.09</v>
      </c>
      <c r="E369" s="37">
        <f>D369/D373</f>
        <v>0.13195223774706372</v>
      </c>
      <c r="F369" s="38">
        <f>-4482.33+-29857.71</f>
        <v>-34340.04</v>
      </c>
      <c r="G369" s="33">
        <f>B369+D369</f>
        <v>481330.41000000003</v>
      </c>
      <c r="H369" s="39">
        <f>G369/G373</f>
        <v>0.13934021352010284</v>
      </c>
    </row>
    <row r="370" spans="1:9" x14ac:dyDescent="0.2">
      <c r="A370" s="35" t="s">
        <v>27</v>
      </c>
      <c r="B370" s="36">
        <v>205983.62</v>
      </c>
      <c r="C370" s="135">
        <f>B370/B373</f>
        <v>9.1426298245488341E-2</v>
      </c>
      <c r="D370" s="33">
        <v>102862.24</v>
      </c>
      <c r="E370" s="37">
        <f>D370/D373</f>
        <v>8.5622062955001937E-2</v>
      </c>
      <c r="F370" s="38">
        <f>-1423.04+-9534.55</f>
        <v>-10957.59</v>
      </c>
      <c r="G370" s="33">
        <f>B370+D370</f>
        <v>308845.86</v>
      </c>
      <c r="H370" s="39">
        <f>G370/G373</f>
        <v>8.9407706604699641E-2</v>
      </c>
    </row>
    <row r="371" spans="1:9" x14ac:dyDescent="0.2">
      <c r="A371" s="35" t="s">
        <v>28</v>
      </c>
      <c r="B371" s="36">
        <v>109527.56</v>
      </c>
      <c r="C371" s="135">
        <f>B371/B373</f>
        <v>4.8614056625767711E-2</v>
      </c>
      <c r="D371" s="33">
        <v>109112.27</v>
      </c>
      <c r="E371" s="37">
        <f>D371/D373</f>
        <v>9.0824559635325541E-2</v>
      </c>
      <c r="F371" s="38">
        <f>-4783.47+-3268.04</f>
        <v>-8051.51</v>
      </c>
      <c r="G371" s="33">
        <f>B371+D371</f>
        <v>218639.83000000002</v>
      </c>
      <c r="H371" s="39">
        <f>G371/G373</f>
        <v>6.3293986756828818E-2</v>
      </c>
    </row>
    <row r="372" spans="1:9" ht="13.5" thickBot="1" x14ac:dyDescent="0.25">
      <c r="A372" s="40" t="s">
        <v>29</v>
      </c>
      <c r="B372" s="41">
        <v>475432.08</v>
      </c>
      <c r="C372" s="136">
        <f>B372/B373</f>
        <v>0.21102161007536849</v>
      </c>
      <c r="D372" s="42">
        <v>748787.91</v>
      </c>
      <c r="E372" s="43">
        <f>D372/D373</f>
        <v>0.62328766678583236</v>
      </c>
      <c r="F372" s="44">
        <f>-24625.9+-14071.85</f>
        <v>-38697.75</v>
      </c>
      <c r="G372" s="33">
        <f>B372+D372</f>
        <v>1224219.99</v>
      </c>
      <c r="H372" s="45">
        <f>G372/G373</f>
        <v>0.35439912222080078</v>
      </c>
      <c r="I372" s="119"/>
    </row>
    <row r="373" spans="1:9" ht="13.5" thickBot="1" x14ac:dyDescent="0.25">
      <c r="A373" s="46" t="s">
        <v>24</v>
      </c>
      <c r="B373" s="47">
        <f>SUM(B368:B372)</f>
        <v>2253001.8600000003</v>
      </c>
      <c r="C373" s="137">
        <f>B373/B373</f>
        <v>1</v>
      </c>
      <c r="D373" s="47">
        <f>SUM(D368:D372)</f>
        <v>1201352.04</v>
      </c>
      <c r="E373" s="48">
        <f>D373/D373</f>
        <v>1</v>
      </c>
      <c r="F373" s="49">
        <f>SUM(F368:F372)</f>
        <v>-115406.43</v>
      </c>
      <c r="G373" s="47">
        <f>SUM(G368:G372)</f>
        <v>3454353.9000000004</v>
      </c>
      <c r="H373" s="50">
        <f>G373/G373</f>
        <v>1</v>
      </c>
    </row>
    <row r="376" spans="1:9" ht="13.5" thickBot="1" x14ac:dyDescent="0.25">
      <c r="A376" s="22" t="s">
        <v>63</v>
      </c>
    </row>
    <row r="377" spans="1:9" ht="13.5" thickBot="1" x14ac:dyDescent="0.25">
      <c r="A377" s="23" t="s">
        <v>19</v>
      </c>
      <c r="B377" s="24" t="s">
        <v>20</v>
      </c>
      <c r="C377" s="133" t="s">
        <v>21</v>
      </c>
      <c r="D377" s="25" t="s">
        <v>22</v>
      </c>
      <c r="E377" s="26" t="s">
        <v>21</v>
      </c>
      <c r="F377" s="27" t="s">
        <v>23</v>
      </c>
      <c r="G377" s="25" t="s">
        <v>24</v>
      </c>
      <c r="H377" s="25" t="s">
        <v>21</v>
      </c>
    </row>
    <row r="378" spans="1:9" x14ac:dyDescent="0.2">
      <c r="A378" s="28" t="s">
        <v>25</v>
      </c>
      <c r="B378" s="29">
        <v>1120243.43</v>
      </c>
      <c r="C378" s="134">
        <f>B378/B383</f>
        <v>0.51122825612312994</v>
      </c>
      <c r="D378" s="31">
        <v>75831.100000000006</v>
      </c>
      <c r="E378" s="30">
        <f>D378/D383</f>
        <v>6.8868921076516695E-2</v>
      </c>
      <c r="F378" s="32">
        <f>-14402.49+-3108.63</f>
        <v>-17511.12</v>
      </c>
      <c r="G378" s="33">
        <f>B378+D378</f>
        <v>1196074.53</v>
      </c>
      <c r="H378" s="34">
        <f>G378/G383</f>
        <v>0.36328661602649359</v>
      </c>
    </row>
    <row r="379" spans="1:9" x14ac:dyDescent="0.2">
      <c r="A379" s="35" t="s">
        <v>26</v>
      </c>
      <c r="B379" s="36">
        <v>314481.84000000003</v>
      </c>
      <c r="C379" s="135">
        <f>B379/B383</f>
        <v>0.14351523815283004</v>
      </c>
      <c r="D379" s="29">
        <v>120438.48</v>
      </c>
      <c r="E379" s="37">
        <f>D379/D383</f>
        <v>0.10938082361584672</v>
      </c>
      <c r="F379" s="38">
        <f>-38175.43+-2144.01</f>
        <v>-40319.440000000002</v>
      </c>
      <c r="G379" s="33">
        <f>B379+D379</f>
        <v>434920.32</v>
      </c>
      <c r="H379" s="39">
        <f>G379/G383</f>
        <v>0.13209940294770739</v>
      </c>
    </row>
    <row r="380" spans="1:9" x14ac:dyDescent="0.2">
      <c r="A380" s="35" t="s">
        <v>27</v>
      </c>
      <c r="B380" s="36">
        <v>176026.6</v>
      </c>
      <c r="C380" s="135">
        <f>B380/B383</f>
        <v>8.0330550788665425E-2</v>
      </c>
      <c r="D380" s="33">
        <v>119909.29</v>
      </c>
      <c r="E380" s="37">
        <f>D380/D383</f>
        <v>0.10890021942647743</v>
      </c>
      <c r="F380" s="38">
        <f>-7394.52+-3957.35</f>
        <v>-11351.87</v>
      </c>
      <c r="G380" s="33">
        <f>B380+D380</f>
        <v>295935.89</v>
      </c>
      <c r="H380" s="39">
        <f>G380/G383</f>
        <v>8.9885325155187989E-2</v>
      </c>
    </row>
    <row r="381" spans="1:9" x14ac:dyDescent="0.2">
      <c r="A381" s="35" t="s">
        <v>28</v>
      </c>
      <c r="B381" s="36">
        <v>122047.06</v>
      </c>
      <c r="C381" s="135">
        <f>B381/B383</f>
        <v>5.5696738742538318E-2</v>
      </c>
      <c r="D381" s="33">
        <v>86969.37</v>
      </c>
      <c r="E381" s="37">
        <f>D381/D383</f>
        <v>7.8984568054589463E-2</v>
      </c>
      <c r="F381" s="38">
        <f>-5173.25+-4707.43</f>
        <v>-9880.68</v>
      </c>
      <c r="G381" s="33">
        <f>B381+D381</f>
        <v>209016.43</v>
      </c>
      <c r="H381" s="39">
        <f>G381/G383</f>
        <v>6.348506689515282E-2</v>
      </c>
    </row>
    <row r="382" spans="1:9" ht="13.5" thickBot="1" x14ac:dyDescent="0.25">
      <c r="A382" s="40" t="s">
        <v>29</v>
      </c>
      <c r="B382" s="41">
        <v>458479.46</v>
      </c>
      <c r="C382" s="136">
        <f>B382/B383</f>
        <v>0.20922921619283619</v>
      </c>
      <c r="D382" s="42">
        <v>697944.95</v>
      </c>
      <c r="E382" s="43">
        <f>D382/D383</f>
        <v>0.63386546782656972</v>
      </c>
      <c r="F382" s="44">
        <f>-15013.07+-18696.61</f>
        <v>-33709.68</v>
      </c>
      <c r="G382" s="33">
        <f>B382+D382</f>
        <v>1156424.4099999999</v>
      </c>
      <c r="H382" s="45">
        <f>G382/G383</f>
        <v>0.35124358897545821</v>
      </c>
      <c r="I382" s="119"/>
    </row>
    <row r="383" spans="1:9" ht="13.5" thickBot="1" x14ac:dyDescent="0.25">
      <c r="A383" s="46" t="s">
        <v>24</v>
      </c>
      <c r="B383" s="47">
        <f>SUM(B378:B382)</f>
        <v>2191278.39</v>
      </c>
      <c r="C383" s="137">
        <f>B383/B383</f>
        <v>1</v>
      </c>
      <c r="D383" s="47">
        <f>SUM(D378:D382)</f>
        <v>1101093.19</v>
      </c>
      <c r="E383" s="48">
        <f>D383/D383</f>
        <v>1</v>
      </c>
      <c r="F383" s="49">
        <f>SUM(F378:F382)</f>
        <v>-112772.78999999998</v>
      </c>
      <c r="G383" s="47">
        <f>SUM(G378:G382)</f>
        <v>3292371.58</v>
      </c>
      <c r="H383" s="50">
        <f>G383/G383</f>
        <v>1</v>
      </c>
    </row>
    <row r="386" spans="1:9" ht="13.5" thickBot="1" x14ac:dyDescent="0.25">
      <c r="A386" s="22" t="s">
        <v>62</v>
      </c>
    </row>
    <row r="387" spans="1:9" ht="13.5" thickBot="1" x14ac:dyDescent="0.25">
      <c r="A387" s="23" t="s">
        <v>19</v>
      </c>
      <c r="B387" s="24" t="s">
        <v>20</v>
      </c>
      <c r="C387" s="133" t="s">
        <v>21</v>
      </c>
      <c r="D387" s="25" t="s">
        <v>22</v>
      </c>
      <c r="E387" s="26" t="s">
        <v>21</v>
      </c>
      <c r="F387" s="27" t="s">
        <v>23</v>
      </c>
      <c r="G387" s="25" t="s">
        <v>24</v>
      </c>
      <c r="H387" s="25" t="s">
        <v>21</v>
      </c>
    </row>
    <row r="388" spans="1:9" x14ac:dyDescent="0.2">
      <c r="A388" s="28" t="s">
        <v>25</v>
      </c>
      <c r="B388" s="29">
        <v>966401.25</v>
      </c>
      <c r="C388" s="134">
        <f>B388/B393</f>
        <v>0.48421854680800702</v>
      </c>
      <c r="D388" s="31">
        <v>62821.25</v>
      </c>
      <c r="E388" s="30">
        <f>D388/D393</f>
        <v>5.9916950768970405E-2</v>
      </c>
      <c r="F388" s="32">
        <f>-1300.71+-18022.29</f>
        <v>-19323</v>
      </c>
      <c r="G388" s="33">
        <f>B388+D388</f>
        <v>1029222.5</v>
      </c>
      <c r="H388" s="34">
        <f>G388/G393</f>
        <v>0.33808541324432612</v>
      </c>
    </row>
    <row r="389" spans="1:9" x14ac:dyDescent="0.2">
      <c r="A389" s="35" t="s">
        <v>26</v>
      </c>
      <c r="B389" s="36">
        <v>320351.19</v>
      </c>
      <c r="C389" s="135">
        <f>B389/B393</f>
        <v>0.16051302467791279</v>
      </c>
      <c r="D389" s="29">
        <v>119390.29</v>
      </c>
      <c r="E389" s="37">
        <f>D389/D393</f>
        <v>0.11387073845590623</v>
      </c>
      <c r="F389" s="38">
        <f>-3263.95+-31743.62</f>
        <v>-35007.57</v>
      </c>
      <c r="G389" s="33">
        <f>B389+D389</f>
        <v>439741.48</v>
      </c>
      <c r="H389" s="39">
        <f>G389/G393</f>
        <v>0.14444901854212433</v>
      </c>
    </row>
    <row r="390" spans="1:9" x14ac:dyDescent="0.2">
      <c r="A390" s="35" t="s">
        <v>27</v>
      </c>
      <c r="B390" s="36">
        <v>176387.81</v>
      </c>
      <c r="C390" s="135">
        <f>B390/B393</f>
        <v>8.8379696355780635E-2</v>
      </c>
      <c r="D390" s="33">
        <v>109084.03</v>
      </c>
      <c r="E390" s="37">
        <f>D390/D393</f>
        <v>0.10404094880619044</v>
      </c>
      <c r="F390" s="38">
        <f>-4281+-11152.05</f>
        <v>-15433.05</v>
      </c>
      <c r="G390" s="33">
        <f>B390+D390</f>
        <v>285471.83999999997</v>
      </c>
      <c r="H390" s="39">
        <f>G390/G393</f>
        <v>9.3773566936224309E-2</v>
      </c>
    </row>
    <row r="391" spans="1:9" x14ac:dyDescent="0.2">
      <c r="A391" s="35" t="s">
        <v>28</v>
      </c>
      <c r="B391" s="36">
        <v>138761.81</v>
      </c>
      <c r="C391" s="135">
        <f>B391/B393</f>
        <v>6.9527064447245671E-2</v>
      </c>
      <c r="D391" s="33">
        <v>100959.49</v>
      </c>
      <c r="E391" s="37">
        <f>D391/D393</f>
        <v>9.6292015711090764E-2</v>
      </c>
      <c r="F391" s="38">
        <f>-4045.38+-4585.25</f>
        <v>-8630.630000000001</v>
      </c>
      <c r="G391" s="33">
        <f>B391+D391</f>
        <v>239721.3</v>
      </c>
      <c r="H391" s="39">
        <f>G391/G393</f>
        <v>7.8745144780615534E-2</v>
      </c>
    </row>
    <row r="392" spans="1:9" ht="13.5" thickBot="1" x14ac:dyDescent="0.25">
      <c r="A392" s="40" t="s">
        <v>29</v>
      </c>
      <c r="B392" s="41">
        <v>393893.55</v>
      </c>
      <c r="C392" s="136">
        <f>B392/B393</f>
        <v>0.19736166771105382</v>
      </c>
      <c r="D392" s="42">
        <v>656217.02</v>
      </c>
      <c r="E392" s="43">
        <f>D392/D393</f>
        <v>0.62587934625784225</v>
      </c>
      <c r="F392" s="44">
        <f>-19167.74+-11757.17</f>
        <v>-30924.910000000003</v>
      </c>
      <c r="G392" s="33">
        <f>B392+D392</f>
        <v>1050110.57</v>
      </c>
      <c r="H392" s="45">
        <f>G392/G393</f>
        <v>0.34494685649670975</v>
      </c>
      <c r="I392" s="119"/>
    </row>
    <row r="393" spans="1:9" ht="13.5" thickBot="1" x14ac:dyDescent="0.25">
      <c r="A393" s="46" t="s">
        <v>24</v>
      </c>
      <c r="B393" s="47">
        <f>SUM(B388:B392)</f>
        <v>1995795.61</v>
      </c>
      <c r="C393" s="137">
        <f>B393/B393</f>
        <v>1</v>
      </c>
      <c r="D393" s="47">
        <f>SUM(D388:D392)</f>
        <v>1048472.08</v>
      </c>
      <c r="E393" s="48">
        <f>D393/D393</f>
        <v>1</v>
      </c>
      <c r="F393" s="49">
        <f>SUM(F388:F392)</f>
        <v>-109319.16</v>
      </c>
      <c r="G393" s="47">
        <f>SUM(G388:G392)</f>
        <v>3044267.69</v>
      </c>
      <c r="H393" s="50">
        <f>G393/G393</f>
        <v>1</v>
      </c>
    </row>
    <row r="396" spans="1:9" ht="13.5" thickBot="1" x14ac:dyDescent="0.25">
      <c r="A396" s="22" t="s">
        <v>61</v>
      </c>
    </row>
    <row r="397" spans="1:9" ht="13.5" thickBot="1" x14ac:dyDescent="0.25">
      <c r="A397" s="23" t="s">
        <v>19</v>
      </c>
      <c r="B397" s="24" t="s">
        <v>20</v>
      </c>
      <c r="C397" s="133" t="s">
        <v>21</v>
      </c>
      <c r="D397" s="25" t="s">
        <v>22</v>
      </c>
      <c r="E397" s="26" t="s">
        <v>21</v>
      </c>
      <c r="F397" s="27" t="s">
        <v>23</v>
      </c>
      <c r="G397" s="25" t="s">
        <v>24</v>
      </c>
      <c r="H397" s="25" t="s">
        <v>21</v>
      </c>
    </row>
    <row r="398" spans="1:9" x14ac:dyDescent="0.2">
      <c r="A398" s="28" t="s">
        <v>25</v>
      </c>
      <c r="B398" s="29">
        <v>740714.75</v>
      </c>
      <c r="C398" s="134">
        <f>B398/B403</f>
        <v>0.42382043471987563</v>
      </c>
      <c r="D398" s="31">
        <v>56556.17</v>
      </c>
      <c r="E398" s="30">
        <f>D398/D403</f>
        <v>5.7631668569866734E-2</v>
      </c>
      <c r="F398" s="32">
        <f>-974.09+-15169.04</f>
        <v>-16143.130000000001</v>
      </c>
      <c r="G398" s="33">
        <f>B398+D398</f>
        <v>797270.92</v>
      </c>
      <c r="H398" s="34">
        <f>G398/G403</f>
        <v>0.29214257816533579</v>
      </c>
    </row>
    <row r="399" spans="1:9" x14ac:dyDescent="0.2">
      <c r="A399" s="35" t="s">
        <v>26</v>
      </c>
      <c r="B399" s="36">
        <v>364552.43</v>
      </c>
      <c r="C399" s="135">
        <f>B399/B403</f>
        <v>0.20858875749509112</v>
      </c>
      <c r="D399" s="29">
        <v>111023.89</v>
      </c>
      <c r="E399" s="37">
        <f>D399/D403</f>
        <v>0.11313517219814111</v>
      </c>
      <c r="F399" s="38">
        <f>-2048+-38666.58</f>
        <v>-40714.58</v>
      </c>
      <c r="G399" s="33">
        <f>B399+D399</f>
        <v>475576.32000000001</v>
      </c>
      <c r="H399" s="39">
        <f>G399/G403</f>
        <v>0.17426459281768703</v>
      </c>
    </row>
    <row r="400" spans="1:9" x14ac:dyDescent="0.2">
      <c r="A400" s="35" t="s">
        <v>27</v>
      </c>
      <c r="B400" s="36">
        <v>182423.93</v>
      </c>
      <c r="C400" s="135">
        <f>B400/B403</f>
        <v>0.10437889797105858</v>
      </c>
      <c r="D400" s="33">
        <v>111096.13</v>
      </c>
      <c r="E400" s="37">
        <f>D400/D403</f>
        <v>0.11320878594775476</v>
      </c>
      <c r="F400" s="38">
        <f>-5390.37+-17783.03</f>
        <v>-23173.399999999998</v>
      </c>
      <c r="G400" s="33">
        <f>B400+D400</f>
        <v>293520.06</v>
      </c>
      <c r="H400" s="39">
        <f>G400/G403</f>
        <v>0.10755403830813752</v>
      </c>
    </row>
    <row r="401" spans="1:9" x14ac:dyDescent="0.2">
      <c r="A401" s="35" t="s">
        <v>28</v>
      </c>
      <c r="B401" s="36">
        <v>124848.05</v>
      </c>
      <c r="C401" s="135">
        <f>B401/B403</f>
        <v>7.1435265498532019E-2</v>
      </c>
      <c r="D401" s="33">
        <v>105345.82</v>
      </c>
      <c r="E401" s="37">
        <f>D401/D403</f>
        <v>0.10734912536440921</v>
      </c>
      <c r="F401" s="38">
        <f>-4357.13+-8479.32</f>
        <v>-12836.45</v>
      </c>
      <c r="G401" s="33">
        <f>B401+D401</f>
        <v>230193.87</v>
      </c>
      <c r="H401" s="39">
        <f>G401/G403</f>
        <v>8.4349534107748633E-2</v>
      </c>
    </row>
    <row r="402" spans="1:9" ht="13.5" thickBot="1" x14ac:dyDescent="0.25">
      <c r="A402" s="40" t="s">
        <v>29</v>
      </c>
      <c r="B402" s="41">
        <v>335169.75</v>
      </c>
      <c r="C402" s="136">
        <f>B402/B403</f>
        <v>0.19177664431544267</v>
      </c>
      <c r="D402" s="42">
        <v>597316.4</v>
      </c>
      <c r="E402" s="43">
        <f>D402/D403</f>
        <v>0.60867524791982819</v>
      </c>
      <c r="F402" s="44">
        <f>-21246.69+-14799.31</f>
        <v>-36046</v>
      </c>
      <c r="G402" s="33">
        <f>B402+D402</f>
        <v>932486.15</v>
      </c>
      <c r="H402" s="45">
        <f>G402/G403</f>
        <v>0.34168925660109112</v>
      </c>
      <c r="I402" s="119"/>
    </row>
    <row r="403" spans="1:9" ht="13.5" thickBot="1" x14ac:dyDescent="0.25">
      <c r="A403" s="46" t="s">
        <v>24</v>
      </c>
      <c r="B403" s="47">
        <f>SUM(B398:B402)</f>
        <v>1747708.91</v>
      </c>
      <c r="C403" s="137">
        <f>B403/B403</f>
        <v>1</v>
      </c>
      <c r="D403" s="47">
        <f>SUM(D398:D402)</f>
        <v>981338.41</v>
      </c>
      <c r="E403" s="48">
        <f>D403/D403</f>
        <v>1</v>
      </c>
      <c r="F403" s="49">
        <f>SUM(F398:F402)</f>
        <v>-128913.56</v>
      </c>
      <c r="G403" s="47">
        <f>SUM(G398:G402)</f>
        <v>2729047.32</v>
      </c>
      <c r="H403" s="50">
        <f>G403/G403</f>
        <v>1</v>
      </c>
    </row>
    <row r="406" spans="1:9" ht="13.5" thickBot="1" x14ac:dyDescent="0.25">
      <c r="A406" s="22" t="s">
        <v>60</v>
      </c>
    </row>
    <row r="407" spans="1:9" ht="13.5" thickBot="1" x14ac:dyDescent="0.25">
      <c r="A407" s="23" t="s">
        <v>19</v>
      </c>
      <c r="B407" s="24" t="s">
        <v>20</v>
      </c>
      <c r="C407" s="133" t="s">
        <v>21</v>
      </c>
      <c r="D407" s="25" t="s">
        <v>22</v>
      </c>
      <c r="E407" s="26" t="s">
        <v>21</v>
      </c>
      <c r="F407" s="27" t="s">
        <v>23</v>
      </c>
      <c r="G407" s="25" t="s">
        <v>24</v>
      </c>
      <c r="H407" s="25" t="s">
        <v>21</v>
      </c>
    </row>
    <row r="408" spans="1:9" x14ac:dyDescent="0.2">
      <c r="A408" s="28" t="s">
        <v>25</v>
      </c>
      <c r="B408" s="29">
        <v>976040.87</v>
      </c>
      <c r="C408" s="134">
        <f>B408/B413</f>
        <v>0.45955058249316866</v>
      </c>
      <c r="D408" s="31">
        <v>41974.720000000001</v>
      </c>
      <c r="E408" s="30">
        <f>D408/D413</f>
        <v>4.4513525324727403E-2</v>
      </c>
      <c r="F408" s="32">
        <f>-14439.37+-1917.4</f>
        <v>-16356.77</v>
      </c>
      <c r="G408" s="33">
        <f>B408+D408</f>
        <v>1018015.59</v>
      </c>
      <c r="H408" s="34">
        <f>G408/G413</f>
        <v>0.33193975333569481</v>
      </c>
    </row>
    <row r="409" spans="1:9" x14ac:dyDescent="0.2">
      <c r="A409" s="35" t="s">
        <v>26</v>
      </c>
      <c r="B409" s="36">
        <v>498877.41</v>
      </c>
      <c r="C409" s="135">
        <f>B409/B413</f>
        <v>0.23488709479776529</v>
      </c>
      <c r="D409" s="29">
        <v>132824.88</v>
      </c>
      <c r="E409" s="37">
        <f>D409/D413</f>
        <v>0.14085868016829842</v>
      </c>
      <c r="F409" s="38">
        <f>-20307.53+-6432.55</f>
        <v>-26740.079999999998</v>
      </c>
      <c r="G409" s="33">
        <f>B409+D409</f>
        <v>631702.29</v>
      </c>
      <c r="H409" s="39">
        <f>G409/G413</f>
        <v>0.20597631743949379</v>
      </c>
    </row>
    <row r="410" spans="1:9" x14ac:dyDescent="0.2">
      <c r="A410" s="35" t="s">
        <v>27</v>
      </c>
      <c r="B410" s="36">
        <v>236495.2</v>
      </c>
      <c r="C410" s="135">
        <f>B410/B413</f>
        <v>0.11134934023494161</v>
      </c>
      <c r="D410" s="33">
        <v>117956.4</v>
      </c>
      <c r="E410" s="37">
        <f>D410/D413</f>
        <v>0.12509089277102206</v>
      </c>
      <c r="F410" s="38">
        <f>-6201.47+-3734.86</f>
        <v>-9936.33</v>
      </c>
      <c r="G410" s="33">
        <f>B410+D410</f>
        <v>354451.6</v>
      </c>
      <c r="H410" s="39">
        <f>G410/G413</f>
        <v>0.11557443503732823</v>
      </c>
    </row>
    <row r="411" spans="1:9" x14ac:dyDescent="0.2">
      <c r="A411" s="35" t="s">
        <v>28</v>
      </c>
      <c r="B411" s="36">
        <v>112926.94</v>
      </c>
      <c r="C411" s="135">
        <f>B411/B413</f>
        <v>5.3169536902866688E-2</v>
      </c>
      <c r="D411" s="33">
        <v>75292.350000000006</v>
      </c>
      <c r="E411" s="37">
        <f>D411/D413</f>
        <v>7.9846343906123482E-2</v>
      </c>
      <c r="F411" s="38">
        <f>-5376.21+-3911.62</f>
        <v>-9287.83</v>
      </c>
      <c r="G411" s="33">
        <f>B411+D411</f>
        <v>188219.29</v>
      </c>
      <c r="H411" s="39">
        <f>G411/G413</f>
        <v>6.1371815234793813E-2</v>
      </c>
    </row>
    <row r="412" spans="1:9" ht="13.5" thickBot="1" x14ac:dyDescent="0.25">
      <c r="A412" s="40" t="s">
        <v>29</v>
      </c>
      <c r="B412" s="41">
        <v>299562.59999999998</v>
      </c>
      <c r="C412" s="136">
        <f>B412/B413</f>
        <v>0.14104344557125775</v>
      </c>
      <c r="D412" s="42">
        <v>574917.18000000005</v>
      </c>
      <c r="E412" s="43">
        <f>D412/D413</f>
        <v>0.60969055782982862</v>
      </c>
      <c r="F412" s="44">
        <f>-8776.89+-19625.19</f>
        <v>-28402.079999999998</v>
      </c>
      <c r="G412" s="33">
        <f>B412+D412</f>
        <v>874479.78</v>
      </c>
      <c r="H412" s="45">
        <f>G412/G413</f>
        <v>0.28513767895268943</v>
      </c>
      <c r="I412" s="119"/>
    </row>
    <row r="413" spans="1:9" ht="13.5" thickBot="1" x14ac:dyDescent="0.25">
      <c r="A413" s="46" t="s">
        <v>24</v>
      </c>
      <c r="B413" s="47">
        <f>SUM(B408:B412)</f>
        <v>2123903.02</v>
      </c>
      <c r="C413" s="137">
        <f>B413/B413</f>
        <v>1</v>
      </c>
      <c r="D413" s="47">
        <f>SUM(D408:D412)</f>
        <v>942965.53</v>
      </c>
      <c r="E413" s="48">
        <f>D413/D413</f>
        <v>1</v>
      </c>
      <c r="F413" s="49">
        <f>SUM(F408:F412)</f>
        <v>-90723.09</v>
      </c>
      <c r="G413" s="47">
        <f>SUM(G408:G412)</f>
        <v>3066868.55</v>
      </c>
      <c r="H413" s="50">
        <f>G413/G413</f>
        <v>1</v>
      </c>
    </row>
    <row r="416" spans="1:9" ht="13.5" thickBot="1" x14ac:dyDescent="0.25">
      <c r="A416" s="22" t="s">
        <v>59</v>
      </c>
    </row>
    <row r="417" spans="1:8" ht="13.5" thickBot="1" x14ac:dyDescent="0.25">
      <c r="A417" s="23" t="s">
        <v>19</v>
      </c>
      <c r="B417" s="24" t="s">
        <v>20</v>
      </c>
      <c r="C417" s="133" t="s">
        <v>21</v>
      </c>
      <c r="D417" s="25" t="s">
        <v>22</v>
      </c>
      <c r="E417" s="26" t="s">
        <v>21</v>
      </c>
      <c r="F417" s="27" t="s">
        <v>23</v>
      </c>
      <c r="G417" s="25" t="s">
        <v>24</v>
      </c>
      <c r="H417" s="25" t="s">
        <v>21</v>
      </c>
    </row>
    <row r="418" spans="1:8" x14ac:dyDescent="0.2">
      <c r="A418" s="28" t="s">
        <v>25</v>
      </c>
      <c r="B418" s="29">
        <v>1128070.77</v>
      </c>
      <c r="C418" s="134">
        <f>B418/B423</f>
        <v>0.50307770139880359</v>
      </c>
      <c r="D418" s="31">
        <v>55168.58</v>
      </c>
      <c r="E418" s="30">
        <f>D418/D423</f>
        <v>6.4020620253117846E-2</v>
      </c>
      <c r="F418" s="32">
        <f>-11174.85+-1462.21</f>
        <v>-12637.060000000001</v>
      </c>
      <c r="G418" s="33">
        <f>B418+D418</f>
        <v>1183239.3500000001</v>
      </c>
      <c r="H418" s="34">
        <f>G418/G423</f>
        <v>0.3811895912955533</v>
      </c>
    </row>
    <row r="419" spans="1:8" x14ac:dyDescent="0.2">
      <c r="A419" s="35" t="s">
        <v>26</v>
      </c>
      <c r="B419" s="36">
        <v>485665.91</v>
      </c>
      <c r="C419" s="135">
        <f>B419/B423</f>
        <v>0.21658897309302522</v>
      </c>
      <c r="D419" s="29">
        <v>114326.6</v>
      </c>
      <c r="E419" s="37">
        <f>D419/D423</f>
        <v>0.13267080362463748</v>
      </c>
      <c r="F419" s="38">
        <f>-41889.19+-2599.08</f>
        <v>-44488.270000000004</v>
      </c>
      <c r="G419" s="33">
        <f>B419+D419</f>
        <v>599992.51</v>
      </c>
      <c r="H419" s="39">
        <f>G419/G423</f>
        <v>0.1932921683742965</v>
      </c>
    </row>
    <row r="420" spans="1:8" x14ac:dyDescent="0.2">
      <c r="A420" s="35" t="s">
        <v>27</v>
      </c>
      <c r="B420" s="36">
        <v>223257.45</v>
      </c>
      <c r="C420" s="135">
        <f>B420/B423</f>
        <v>9.9564537751614945E-2</v>
      </c>
      <c r="D420" s="33">
        <v>82529.240000000005</v>
      </c>
      <c r="E420" s="37">
        <f>D420/D423</f>
        <v>9.5771417966864905E-2</v>
      </c>
      <c r="F420" s="38">
        <f>-12271.37+-3015.54</f>
        <v>-15286.91</v>
      </c>
      <c r="G420" s="33">
        <f>B420+D420</f>
        <v>305786.69</v>
      </c>
      <c r="H420" s="39">
        <f>G420/G423</f>
        <v>9.8511517035602347E-2</v>
      </c>
    </row>
    <row r="421" spans="1:8" x14ac:dyDescent="0.2">
      <c r="A421" s="35" t="s">
        <v>28</v>
      </c>
      <c r="B421" s="36">
        <v>97672.44</v>
      </c>
      <c r="C421" s="135">
        <f>B421/B423</f>
        <v>4.3558283675068157E-2</v>
      </c>
      <c r="D421" s="33">
        <v>79034.39</v>
      </c>
      <c r="E421" s="37">
        <f>D421/D423</f>
        <v>9.1715803979852573E-2</v>
      </c>
      <c r="F421" s="38">
        <f>-7851.71+-2909.09</f>
        <v>-10760.8</v>
      </c>
      <c r="G421" s="33">
        <f>B421+D421</f>
        <v>176706.83000000002</v>
      </c>
      <c r="H421" s="39">
        <f>G421/G423</f>
        <v>5.6927454539804495E-2</v>
      </c>
    </row>
    <row r="422" spans="1:8" ht="13.5" thickBot="1" x14ac:dyDescent="0.25">
      <c r="A422" s="40" t="s">
        <v>29</v>
      </c>
      <c r="B422" s="41">
        <f>70113.16+63250.67+174308.64</f>
        <v>307672.47000000003</v>
      </c>
      <c r="C422" s="136">
        <f>B422/B423</f>
        <v>0.13721050408148805</v>
      </c>
      <c r="D422" s="42">
        <v>530672.61</v>
      </c>
      <c r="E422" s="43">
        <f>D422/D423</f>
        <v>0.6158213541755273</v>
      </c>
      <c r="F422" s="44">
        <f>-12405.96+-17415.08</f>
        <v>-29821.040000000001</v>
      </c>
      <c r="G422" s="33">
        <f>B422+D422</f>
        <v>838345.08000000007</v>
      </c>
      <c r="H422" s="45">
        <f>G422/G423</f>
        <v>0.27007926875474342</v>
      </c>
    </row>
    <row r="423" spans="1:8" ht="13.5" thickBot="1" x14ac:dyDescent="0.25">
      <c r="A423" s="46" t="s">
        <v>24</v>
      </c>
      <c r="B423" s="47">
        <f>SUM(B418:B422)</f>
        <v>2242339.04</v>
      </c>
      <c r="C423" s="137">
        <f>B423/B423</f>
        <v>1</v>
      </c>
      <c r="D423" s="47">
        <f>SUM(D418:D422)</f>
        <v>861731.41999999993</v>
      </c>
      <c r="E423" s="48">
        <f>D423/D423</f>
        <v>1</v>
      </c>
      <c r="F423" s="49">
        <f>SUM(F418:F422)</f>
        <v>-112994.08000000002</v>
      </c>
      <c r="G423" s="47">
        <f>SUM(G418:G422)</f>
        <v>3104070.46</v>
      </c>
      <c r="H423" s="50">
        <f>G423/G423</f>
        <v>1</v>
      </c>
    </row>
    <row r="426" spans="1:8" ht="13.5" thickBot="1" x14ac:dyDescent="0.25">
      <c r="A426" s="22" t="s">
        <v>58</v>
      </c>
    </row>
    <row r="427" spans="1:8" ht="13.5" thickBot="1" x14ac:dyDescent="0.25">
      <c r="A427" s="23" t="s">
        <v>19</v>
      </c>
      <c r="B427" s="24" t="s">
        <v>20</v>
      </c>
      <c r="C427" s="133" t="s">
        <v>21</v>
      </c>
      <c r="D427" s="25" t="s">
        <v>22</v>
      </c>
      <c r="E427" s="26" t="s">
        <v>21</v>
      </c>
      <c r="F427" s="27" t="s">
        <v>23</v>
      </c>
      <c r="G427" s="25" t="s">
        <v>24</v>
      </c>
      <c r="H427" s="25" t="s">
        <v>21</v>
      </c>
    </row>
    <row r="428" spans="1:8" x14ac:dyDescent="0.2">
      <c r="A428" s="28" t="s">
        <v>25</v>
      </c>
      <c r="B428" s="29">
        <v>1465954.15</v>
      </c>
      <c r="C428" s="134">
        <f>B428/B433</f>
        <v>0.57519316363505668</v>
      </c>
      <c r="D428" s="31">
        <v>40236.120000000003</v>
      </c>
      <c r="E428" s="30">
        <f>D428/D433</f>
        <v>4.8522715873766741E-2</v>
      </c>
      <c r="F428" s="32">
        <f>-9900.05+-1411.06</f>
        <v>-11311.109999999999</v>
      </c>
      <c r="G428" s="33">
        <f>B428+D428</f>
        <v>1506190.27</v>
      </c>
      <c r="H428" s="34">
        <f>G428/G433</f>
        <v>0.44590184250957809</v>
      </c>
    </row>
    <row r="429" spans="1:8" x14ac:dyDescent="0.2">
      <c r="A429" s="35" t="s">
        <v>26</v>
      </c>
      <c r="B429" s="36">
        <v>536598.86</v>
      </c>
      <c r="C429" s="135">
        <f>B429/B433</f>
        <v>0.21054409913595518</v>
      </c>
      <c r="D429" s="29">
        <v>106607.62</v>
      </c>
      <c r="E429" s="37">
        <f>D429/D433</f>
        <v>0.12856337179724317</v>
      </c>
      <c r="F429" s="38">
        <f>-17678.47+-2320.23</f>
        <v>-19998.7</v>
      </c>
      <c r="G429" s="33">
        <f>B429+D429</f>
        <v>643206.48</v>
      </c>
      <c r="H429" s="39">
        <f>G429/G433</f>
        <v>0.19041880714453169</v>
      </c>
    </row>
    <row r="430" spans="1:8" x14ac:dyDescent="0.2">
      <c r="A430" s="35" t="s">
        <v>27</v>
      </c>
      <c r="B430" s="36">
        <v>185457.59</v>
      </c>
      <c r="C430" s="135">
        <f>B430/B433</f>
        <v>7.2767581381882412E-2</v>
      </c>
      <c r="D430" s="33">
        <v>97309.77</v>
      </c>
      <c r="E430" s="37">
        <f>D430/D433</f>
        <v>0.11735063722475204</v>
      </c>
      <c r="F430" s="38">
        <f>-8064.68+-2430.25</f>
        <v>-10494.93</v>
      </c>
      <c r="G430" s="33">
        <f>B430+D430</f>
        <v>282767.35999999999</v>
      </c>
      <c r="H430" s="39">
        <f>G430/G433</f>
        <v>8.3712190509349901E-2</v>
      </c>
    </row>
    <row r="431" spans="1:8" x14ac:dyDescent="0.2">
      <c r="A431" s="35" t="s">
        <v>28</v>
      </c>
      <c r="B431" s="36">
        <v>95021.19</v>
      </c>
      <c r="C431" s="135">
        <f>B431/B433</f>
        <v>3.7283252609549775E-2</v>
      </c>
      <c r="D431" s="33">
        <v>81150.12</v>
      </c>
      <c r="E431" s="37">
        <f>D431/D433</f>
        <v>9.7862920576886517E-2</v>
      </c>
      <c r="F431" s="38">
        <f>-4387.59+-2979.95</f>
        <v>-7367.54</v>
      </c>
      <c r="G431" s="33">
        <f>B431+D431</f>
        <v>176171.31</v>
      </c>
      <c r="H431" s="39">
        <f>G431/G433</f>
        <v>5.2154839458846101E-2</v>
      </c>
    </row>
    <row r="432" spans="1:8" ht="13.5" thickBot="1" x14ac:dyDescent="0.25">
      <c r="A432" s="40" t="s">
        <v>29</v>
      </c>
      <c r="B432" s="41">
        <v>265597.51</v>
      </c>
      <c r="C432" s="136">
        <f>B432/B433</f>
        <v>0.10421190323755598</v>
      </c>
      <c r="D432" s="42">
        <v>503918.71</v>
      </c>
      <c r="E432" s="43">
        <f>D432/D433</f>
        <v>0.60770035452735149</v>
      </c>
      <c r="F432" s="44">
        <f>-9463.89+-14618.14</f>
        <v>-24082.03</v>
      </c>
      <c r="G432" s="33">
        <f>B432+D432</f>
        <v>769516.22</v>
      </c>
      <c r="H432" s="45">
        <f>G432/G433</f>
        <v>0.22781232037769428</v>
      </c>
    </row>
    <row r="433" spans="1:8" ht="13.5" thickBot="1" x14ac:dyDescent="0.25">
      <c r="A433" s="46" t="s">
        <v>24</v>
      </c>
      <c r="B433" s="47">
        <f>SUM(B428:B432)</f>
        <v>2548629.2999999998</v>
      </c>
      <c r="C433" s="137">
        <f>B433/B433</f>
        <v>1</v>
      </c>
      <c r="D433" s="47">
        <f>SUM(D428:D432)</f>
        <v>829222.34000000008</v>
      </c>
      <c r="E433" s="48">
        <f>D433/D433</f>
        <v>1</v>
      </c>
      <c r="F433" s="49">
        <f>SUM(F428:F432)</f>
        <v>-73254.31</v>
      </c>
      <c r="G433" s="47">
        <f>SUM(G428:G432)</f>
        <v>3377851.6399999997</v>
      </c>
      <c r="H433" s="50">
        <f>G433/G433</f>
        <v>1</v>
      </c>
    </row>
    <row r="434" spans="1:8" x14ac:dyDescent="0.2">
      <c r="A434" s="17"/>
      <c r="B434" s="51"/>
      <c r="C434" s="138"/>
      <c r="D434" s="51"/>
      <c r="E434" s="52"/>
      <c r="F434" s="53"/>
      <c r="G434" s="51"/>
      <c r="H434" s="52"/>
    </row>
    <row r="436" spans="1:8" ht="13.5" thickBot="1" x14ac:dyDescent="0.25">
      <c r="A436" s="22" t="s">
        <v>57</v>
      </c>
    </row>
    <row r="437" spans="1:8" ht="13.5" thickBot="1" x14ac:dyDescent="0.25">
      <c r="A437" s="23" t="s">
        <v>19</v>
      </c>
      <c r="B437" s="24" t="s">
        <v>20</v>
      </c>
      <c r="C437" s="133" t="s">
        <v>21</v>
      </c>
      <c r="D437" s="25" t="s">
        <v>22</v>
      </c>
      <c r="E437" s="26" t="s">
        <v>21</v>
      </c>
      <c r="F437" s="27" t="s">
        <v>23</v>
      </c>
      <c r="G437" s="25" t="s">
        <v>24</v>
      </c>
      <c r="H437" s="25" t="s">
        <v>21</v>
      </c>
    </row>
    <row r="438" spans="1:8" x14ac:dyDescent="0.2">
      <c r="A438" s="28" t="s">
        <v>25</v>
      </c>
      <c r="B438" s="29">
        <v>948564.16</v>
      </c>
      <c r="C438" s="134">
        <f>B438/B443</f>
        <v>0.5026703849641464</v>
      </c>
      <c r="D438" s="31">
        <v>19351.34</v>
      </c>
      <c r="E438" s="30">
        <f>D438/D443</f>
        <v>2.9763810143726952E-2</v>
      </c>
      <c r="F438" s="32">
        <f>-11465.52+-628</f>
        <v>-12093.52</v>
      </c>
      <c r="G438" s="33">
        <f>B438+D438</f>
        <v>967915.5</v>
      </c>
      <c r="H438" s="34">
        <f>G438/G443</f>
        <v>0.38148761644182066</v>
      </c>
    </row>
    <row r="439" spans="1:8" x14ac:dyDescent="0.2">
      <c r="A439" s="35" t="s">
        <v>26</v>
      </c>
      <c r="B439" s="36">
        <v>423180.54</v>
      </c>
      <c r="C439" s="135">
        <f>B439/B443</f>
        <v>0.22425507300543099</v>
      </c>
      <c r="D439" s="29">
        <v>62282.400000000001</v>
      </c>
      <c r="E439" s="37">
        <f>D439/D443</f>
        <v>9.5794995534968605E-2</v>
      </c>
      <c r="F439" s="38">
        <f>-34688.43+-1539.16</f>
        <v>-36227.590000000004</v>
      </c>
      <c r="G439" s="33">
        <f>B439+D439</f>
        <v>485462.94</v>
      </c>
      <c r="H439" s="39">
        <f>G439/G443</f>
        <v>0.19133705354593308</v>
      </c>
    </row>
    <row r="440" spans="1:8" x14ac:dyDescent="0.2">
      <c r="A440" s="35" t="s">
        <v>27</v>
      </c>
      <c r="B440" s="36">
        <v>164533.87</v>
      </c>
      <c r="C440" s="135">
        <f>B440/B443</f>
        <v>8.7191048597641319E-2</v>
      </c>
      <c r="D440" s="33">
        <v>57114.51</v>
      </c>
      <c r="E440" s="37">
        <f>D440/D443</f>
        <v>8.7846393691185951E-2</v>
      </c>
      <c r="F440" s="38">
        <f>-21671.65+-3353.28</f>
        <v>-25024.93</v>
      </c>
      <c r="G440" s="33">
        <f>B440+D440</f>
        <v>221648.38</v>
      </c>
      <c r="H440" s="39">
        <f>G440/G443</f>
        <v>8.7358981413554096E-2</v>
      </c>
    </row>
    <row r="441" spans="1:8" x14ac:dyDescent="0.2">
      <c r="A441" s="35" t="s">
        <v>28</v>
      </c>
      <c r="B441" s="36">
        <v>105925.92</v>
      </c>
      <c r="C441" s="135">
        <f>B441/B443</f>
        <v>5.6133074840273717E-2</v>
      </c>
      <c r="D441" s="33">
        <v>56257.11</v>
      </c>
      <c r="E441" s="37">
        <f>D441/D443</f>
        <v>8.6527648280416911E-2</v>
      </c>
      <c r="F441" s="38">
        <f>-5063.28+-3084.41</f>
        <v>-8147.69</v>
      </c>
      <c r="G441" s="33">
        <f>B441+D441</f>
        <v>162183.03</v>
      </c>
      <c r="H441" s="39">
        <f>G441/G443</f>
        <v>6.3921713767381858E-2</v>
      </c>
    </row>
    <row r="442" spans="1:8" ht="13.5" thickBot="1" x14ac:dyDescent="0.25">
      <c r="A442" s="40" t="s">
        <v>29</v>
      </c>
      <c r="B442" s="41">
        <v>244845.53</v>
      </c>
      <c r="C442" s="136">
        <f>B442/B443</f>
        <v>0.12975041859250769</v>
      </c>
      <c r="D442" s="42">
        <v>455158.04</v>
      </c>
      <c r="E442" s="43">
        <f>D442/D443</f>
        <v>0.70006715234970174</v>
      </c>
      <c r="F442" s="44">
        <f>-15797.19+-11918.79</f>
        <v>-27715.980000000003</v>
      </c>
      <c r="G442" s="33">
        <f>B442+D442</f>
        <v>700003.57</v>
      </c>
      <c r="H442" s="45">
        <f>G442/G443</f>
        <v>0.27589463483131033</v>
      </c>
    </row>
    <row r="443" spans="1:8" ht="13.5" thickBot="1" x14ac:dyDescent="0.25">
      <c r="A443" s="46" t="s">
        <v>24</v>
      </c>
      <c r="B443" s="47">
        <f>SUM(B438:B442)</f>
        <v>1887050.0199999998</v>
      </c>
      <c r="C443" s="137">
        <f>B443/B443</f>
        <v>1</v>
      </c>
      <c r="D443" s="47">
        <f>SUM(D438:D442)</f>
        <v>650163.39999999991</v>
      </c>
      <c r="E443" s="48">
        <f>D443/D443</f>
        <v>1</v>
      </c>
      <c r="F443" s="49">
        <f>SUM(F438:F442)</f>
        <v>-109209.71000000002</v>
      </c>
      <c r="G443" s="47">
        <f>SUM(G438:G442)</f>
        <v>2537213.42</v>
      </c>
      <c r="H443" s="50">
        <f>G443/G443</f>
        <v>1</v>
      </c>
    </row>
    <row r="446" spans="1:8" ht="13.5" thickBot="1" x14ac:dyDescent="0.25">
      <c r="A446" s="22" t="s">
        <v>56</v>
      </c>
    </row>
    <row r="447" spans="1:8" ht="13.5" thickBot="1" x14ac:dyDescent="0.25">
      <c r="A447" s="23" t="s">
        <v>19</v>
      </c>
      <c r="B447" s="24" t="s">
        <v>20</v>
      </c>
      <c r="C447" s="133" t="s">
        <v>21</v>
      </c>
      <c r="D447" s="25" t="s">
        <v>22</v>
      </c>
      <c r="E447" s="26" t="s">
        <v>21</v>
      </c>
      <c r="F447" s="27" t="s">
        <v>23</v>
      </c>
      <c r="G447" s="25" t="s">
        <v>24</v>
      </c>
      <c r="H447" s="25" t="s">
        <v>21</v>
      </c>
    </row>
    <row r="448" spans="1:8" x14ac:dyDescent="0.2">
      <c r="A448" s="28" t="s">
        <v>25</v>
      </c>
      <c r="B448" s="29">
        <v>917720.8</v>
      </c>
      <c r="C448" s="134">
        <f>B448/B453</f>
        <v>0.54499575566782887</v>
      </c>
      <c r="D448" s="31">
        <v>18546.55</v>
      </c>
      <c r="E448" s="30">
        <f>D448/D453</f>
        <v>4.9193386075623687E-2</v>
      </c>
      <c r="F448" s="32">
        <f>-533.5+-11644.84</f>
        <v>-12178.34</v>
      </c>
      <c r="G448" s="33">
        <f>B448+D448</f>
        <v>936267.35000000009</v>
      </c>
      <c r="H448" s="34">
        <f>G448/G453</f>
        <v>0.45429635984907446</v>
      </c>
    </row>
    <row r="449" spans="1:8" x14ac:dyDescent="0.2">
      <c r="A449" s="35" t="s">
        <v>26</v>
      </c>
      <c r="B449" s="36">
        <v>332227.53000000003</v>
      </c>
      <c r="C449" s="135">
        <f>B449/B453</f>
        <v>0.19729594639895523</v>
      </c>
      <c r="D449" s="29">
        <v>58451.64</v>
      </c>
      <c r="E449" s="37">
        <f>D449/D453</f>
        <v>0.15503875886746421</v>
      </c>
      <c r="F449" s="38">
        <f>-2604.75+-35144.91</f>
        <v>-37749.660000000003</v>
      </c>
      <c r="G449" s="33">
        <f>B449+D449</f>
        <v>390679.17000000004</v>
      </c>
      <c r="H449" s="39">
        <f>G449/G453</f>
        <v>0.18956564575263435</v>
      </c>
    </row>
    <row r="450" spans="1:8" x14ac:dyDescent="0.2">
      <c r="A450" s="35" t="s">
        <v>27</v>
      </c>
      <c r="B450" s="36">
        <v>152980.04</v>
      </c>
      <c r="C450" s="135">
        <f>B450/B453</f>
        <v>9.0848406728816319E-2</v>
      </c>
      <c r="D450" s="33">
        <v>53161.17</v>
      </c>
      <c r="E450" s="37">
        <f>D450/D453</f>
        <v>0.1410061688045412</v>
      </c>
      <c r="F450" s="38">
        <f>-2612.52+-16976.68</f>
        <v>-19589.2</v>
      </c>
      <c r="G450" s="33">
        <f>B450+D450</f>
        <v>206141.21000000002</v>
      </c>
      <c r="H450" s="39">
        <f>G450/G453</f>
        <v>0.10002399562249353</v>
      </c>
    </row>
    <row r="451" spans="1:8" x14ac:dyDescent="0.2">
      <c r="A451" s="35" t="s">
        <v>28</v>
      </c>
      <c r="B451" s="36">
        <v>68012.13</v>
      </c>
      <c r="C451" s="135">
        <f>B451/B453</f>
        <v>4.0389541333190462E-2</v>
      </c>
      <c r="D451" s="33">
        <v>43634.47</v>
      </c>
      <c r="E451" s="37">
        <f>D451/D453</f>
        <v>0.11573728423427643</v>
      </c>
      <c r="F451" s="38">
        <f>-4053.07+-10560.37</f>
        <v>-14613.44</v>
      </c>
      <c r="G451" s="33">
        <f>B451+D451</f>
        <v>111646.6</v>
      </c>
      <c r="H451" s="39">
        <f>G451/G453</f>
        <v>5.4173248666126904E-2</v>
      </c>
    </row>
    <row r="452" spans="1:8" ht="13.5" thickBot="1" x14ac:dyDescent="0.25">
      <c r="A452" s="40" t="s">
        <v>29</v>
      </c>
      <c r="B452" s="41">
        <v>212963.99</v>
      </c>
      <c r="C452" s="136">
        <f>B452/B453</f>
        <v>0.12647034987120914</v>
      </c>
      <c r="D452" s="42">
        <v>203219.25</v>
      </c>
      <c r="E452" s="43">
        <f>D452/D453</f>
        <v>0.53902440201809443</v>
      </c>
      <c r="F452" s="44">
        <f>-8545.32+-21623.08</f>
        <v>-30168.400000000001</v>
      </c>
      <c r="G452" s="33">
        <f>B452+D452</f>
        <v>416183.24</v>
      </c>
      <c r="H452" s="45">
        <f>G452/G453</f>
        <v>0.2019407501096708</v>
      </c>
    </row>
    <row r="453" spans="1:8" ht="13.5" thickBot="1" x14ac:dyDescent="0.25">
      <c r="A453" s="46" t="s">
        <v>24</v>
      </c>
      <c r="B453" s="47">
        <f>SUM(B448:B452)</f>
        <v>1683904.49</v>
      </c>
      <c r="C453" s="137">
        <f>B453/B453</f>
        <v>1</v>
      </c>
      <c r="D453" s="47">
        <f>SUM(D448:D452)</f>
        <v>377013.08</v>
      </c>
      <c r="E453" s="48">
        <f>D453/D453</f>
        <v>1</v>
      </c>
      <c r="F453" s="49">
        <f>SUM(F448:F452)</f>
        <v>-114299.04000000001</v>
      </c>
      <c r="G453" s="47">
        <f>SUM(G448:G452)</f>
        <v>2060917.57</v>
      </c>
      <c r="H453" s="50">
        <f>G453/G453</f>
        <v>1</v>
      </c>
    </row>
    <row r="456" spans="1:8" ht="13.5" thickBot="1" x14ac:dyDescent="0.25">
      <c r="A456" s="22" t="s">
        <v>55</v>
      </c>
    </row>
    <row r="457" spans="1:8" ht="13.5" thickBot="1" x14ac:dyDescent="0.25">
      <c r="A457" s="23" t="s">
        <v>19</v>
      </c>
      <c r="B457" s="24" t="s">
        <v>20</v>
      </c>
      <c r="C457" s="133" t="s">
        <v>21</v>
      </c>
      <c r="D457" s="25" t="s">
        <v>22</v>
      </c>
      <c r="E457" s="26" t="s">
        <v>21</v>
      </c>
      <c r="F457" s="27" t="s">
        <v>23</v>
      </c>
      <c r="G457" s="25" t="s">
        <v>24</v>
      </c>
      <c r="H457" s="25" t="s">
        <v>21</v>
      </c>
    </row>
    <row r="458" spans="1:8" x14ac:dyDescent="0.2">
      <c r="A458" s="28" t="s">
        <v>25</v>
      </c>
      <c r="B458" s="29">
        <v>1039787.02</v>
      </c>
      <c r="C458" s="134">
        <f>B458/B463</f>
        <v>0.62366792707581464</v>
      </c>
      <c r="D458" s="31">
        <v>23456.400000000001</v>
      </c>
      <c r="E458" s="30">
        <f>D458/D463</f>
        <v>6.9241847174254037E-2</v>
      </c>
      <c r="F458" s="32">
        <f>-13738.94+-283.26</f>
        <v>-14022.2</v>
      </c>
      <c r="G458" s="33">
        <f>B458+D458</f>
        <v>1063243.42</v>
      </c>
      <c r="H458" s="34">
        <f>G458/G463</f>
        <v>0.53003873606377705</v>
      </c>
    </row>
    <row r="459" spans="1:8" x14ac:dyDescent="0.2">
      <c r="A459" s="35" t="s">
        <v>26</v>
      </c>
      <c r="B459" s="36">
        <v>274762.43</v>
      </c>
      <c r="C459" s="135">
        <f>B459/B463</f>
        <v>0.16480347596223466</v>
      </c>
      <c r="D459" s="29">
        <v>51147.24</v>
      </c>
      <c r="E459" s="37">
        <f>D459/D463</f>
        <v>0.15098350025856028</v>
      </c>
      <c r="F459" s="38">
        <f>-27940.2+-1737.95</f>
        <v>-29678.15</v>
      </c>
      <c r="G459" s="33">
        <f>B459+D459</f>
        <v>325909.67</v>
      </c>
      <c r="H459" s="39">
        <f>G459/G463</f>
        <v>0.1624696154317726</v>
      </c>
    </row>
    <row r="460" spans="1:8" x14ac:dyDescent="0.2">
      <c r="A460" s="35" t="s">
        <v>27</v>
      </c>
      <c r="B460" s="36">
        <v>98690.19</v>
      </c>
      <c r="C460" s="135">
        <f>B460/B463</f>
        <v>5.9194724531200907E-2</v>
      </c>
      <c r="D460" s="33">
        <v>41470.160000000003</v>
      </c>
      <c r="E460" s="37">
        <f>D460/D463</f>
        <v>0.12241735650022438</v>
      </c>
      <c r="F460" s="38">
        <f>-22649.98+-2221.27</f>
        <v>-24871.25</v>
      </c>
      <c r="G460" s="33">
        <f>B460+D460</f>
        <v>140160.35</v>
      </c>
      <c r="H460" s="39">
        <f>G460/G463</f>
        <v>6.9871502012452263E-2</v>
      </c>
    </row>
    <row r="461" spans="1:8" x14ac:dyDescent="0.2">
      <c r="A461" s="35" t="s">
        <v>28</v>
      </c>
      <c r="B461" s="36">
        <v>52786.1</v>
      </c>
      <c r="C461" s="135">
        <f>B461/B463</f>
        <v>3.1661289218071459E-2</v>
      </c>
      <c r="D461" s="33">
        <v>50545.18</v>
      </c>
      <c r="E461" s="37">
        <f>D461/D463</f>
        <v>0.14920625624371864</v>
      </c>
      <c r="F461" s="38">
        <f>-7580.26+-1090.75</f>
        <v>-8671.01</v>
      </c>
      <c r="G461" s="33">
        <f>B461+D461</f>
        <v>103331.28</v>
      </c>
      <c r="H461" s="39">
        <f>G461/G463</f>
        <v>5.1511798725311884E-2</v>
      </c>
    </row>
    <row r="462" spans="1:8" ht="13.5" thickBot="1" x14ac:dyDescent="0.25">
      <c r="A462" s="40" t="s">
        <v>29</v>
      </c>
      <c r="B462" s="41">
        <v>201186.85</v>
      </c>
      <c r="C462" s="136">
        <f>B462/B463</f>
        <v>0.12067258321267835</v>
      </c>
      <c r="D462" s="42">
        <v>172141.48</v>
      </c>
      <c r="E462" s="43">
        <f>D462/D463</f>
        <v>0.50815103982324261</v>
      </c>
      <c r="F462" s="44">
        <f>-22260.85+-7882.04</f>
        <v>-30142.89</v>
      </c>
      <c r="G462" s="33">
        <f>B462+D462</f>
        <v>373328.33</v>
      </c>
      <c r="H462" s="45">
        <f>G462/G463</f>
        <v>0.18610834776668611</v>
      </c>
    </row>
    <row r="463" spans="1:8" ht="13.5" thickBot="1" x14ac:dyDescent="0.25">
      <c r="A463" s="46" t="s">
        <v>24</v>
      </c>
      <c r="B463" s="47">
        <f>SUM(B458:B462)</f>
        <v>1667212.59</v>
      </c>
      <c r="C463" s="137">
        <f>B463/B463</f>
        <v>1</v>
      </c>
      <c r="D463" s="47">
        <f>SUM(D458:D462)</f>
        <v>338760.46</v>
      </c>
      <c r="E463" s="48">
        <f>D463/D463</f>
        <v>1</v>
      </c>
      <c r="F463" s="49">
        <f>SUM(F458:F462)</f>
        <v>-107385.5</v>
      </c>
      <c r="G463" s="47">
        <f>SUM(G458:G462)</f>
        <v>2005973.05</v>
      </c>
      <c r="H463" s="50">
        <f>G463/G463</f>
        <v>1</v>
      </c>
    </row>
    <row r="466" spans="1:8" ht="13.5" thickBot="1" x14ac:dyDescent="0.25">
      <c r="A466" s="22" t="s">
        <v>54</v>
      </c>
    </row>
    <row r="467" spans="1:8" ht="13.5" thickBot="1" x14ac:dyDescent="0.25">
      <c r="A467" s="23" t="s">
        <v>19</v>
      </c>
      <c r="B467" s="24" t="s">
        <v>20</v>
      </c>
      <c r="C467" s="133" t="s">
        <v>21</v>
      </c>
      <c r="D467" s="25" t="s">
        <v>22</v>
      </c>
      <c r="E467" s="26" t="s">
        <v>21</v>
      </c>
      <c r="F467" s="27" t="s">
        <v>23</v>
      </c>
      <c r="G467" s="25" t="s">
        <v>24</v>
      </c>
      <c r="H467" s="25" t="s">
        <v>21</v>
      </c>
    </row>
    <row r="468" spans="1:8" x14ac:dyDescent="0.2">
      <c r="A468" s="28" t="s">
        <v>25</v>
      </c>
      <c r="B468" s="29">
        <v>665342.1</v>
      </c>
      <c r="C468" s="134">
        <f>B468/B473</f>
        <v>0.54953038030555545</v>
      </c>
      <c r="D468" s="31">
        <v>21984.080000000002</v>
      </c>
      <c r="E468" s="30">
        <f>D468/D473</f>
        <v>7.0719943063961913E-2</v>
      </c>
      <c r="F468" s="32">
        <f>-11127.85+-1305.83</f>
        <v>-12433.68</v>
      </c>
      <c r="G468" s="33">
        <f>B468+D468</f>
        <v>687326.17999999993</v>
      </c>
      <c r="H468" s="34">
        <f>G468/G473</f>
        <v>0.45171046768148182</v>
      </c>
    </row>
    <row r="469" spans="1:8" x14ac:dyDescent="0.2">
      <c r="A469" s="35" t="s">
        <v>26</v>
      </c>
      <c r="B469" s="36">
        <v>174936.56</v>
      </c>
      <c r="C469" s="135">
        <f>B469/B473</f>
        <v>0.14448650453074532</v>
      </c>
      <c r="D469" s="29">
        <v>45113.11</v>
      </c>
      <c r="E469" s="37">
        <f>D469/D473</f>
        <v>0.14512304224867498</v>
      </c>
      <c r="F469" s="38">
        <f>-29271.28+-725.34</f>
        <v>-29996.62</v>
      </c>
      <c r="G469" s="33">
        <f>B469+D469</f>
        <v>220049.66999999998</v>
      </c>
      <c r="H469" s="39">
        <f>G469/G473</f>
        <v>0.14461654777773159</v>
      </c>
    </row>
    <row r="470" spans="1:8" x14ac:dyDescent="0.2">
      <c r="A470" s="35" t="s">
        <v>27</v>
      </c>
      <c r="B470" s="36">
        <v>78398.64</v>
      </c>
      <c r="C470" s="135">
        <f>B470/B473</f>
        <v>6.4752304798746885E-2</v>
      </c>
      <c r="D470" s="33">
        <v>55163.45</v>
      </c>
      <c r="E470" s="37">
        <f>D470/D473</f>
        <v>0.17745368663194955</v>
      </c>
      <c r="F470" s="38">
        <f>-10826.01+-686.5</f>
        <v>-11512.51</v>
      </c>
      <c r="G470" s="33">
        <f>B470+D470</f>
        <v>133562.09</v>
      </c>
      <c r="H470" s="39">
        <f>G470/G473</f>
        <v>8.7776947676307296E-2</v>
      </c>
    </row>
    <row r="471" spans="1:8" x14ac:dyDescent="0.2">
      <c r="A471" s="35" t="s">
        <v>28</v>
      </c>
      <c r="B471" s="36">
        <v>49864.88</v>
      </c>
      <c r="C471" s="135">
        <f>B471/B473</f>
        <v>4.118522857683421E-2</v>
      </c>
      <c r="D471" s="33">
        <v>60060.4</v>
      </c>
      <c r="E471" s="37">
        <f>D471/D473</f>
        <v>0.19320654166100096</v>
      </c>
      <c r="F471" s="38">
        <f>-4614.79+-762.63</f>
        <v>-5377.42</v>
      </c>
      <c r="G471" s="33">
        <f>B471+D471</f>
        <v>109925.28</v>
      </c>
      <c r="H471" s="39">
        <f>G471/G473</f>
        <v>7.224284638600241E-2</v>
      </c>
    </row>
    <row r="472" spans="1:8" ht="13.5" thickBot="1" x14ac:dyDescent="0.25">
      <c r="A472" s="40" t="s">
        <v>29</v>
      </c>
      <c r="B472" s="41">
        <v>242204.53</v>
      </c>
      <c r="C472" s="136">
        <f>B472/B473</f>
        <v>0.20004558178811818</v>
      </c>
      <c r="D472" s="42">
        <v>128540.07</v>
      </c>
      <c r="E472" s="43">
        <f>D472/D473</f>
        <v>0.41349678639441262</v>
      </c>
      <c r="F472" s="44">
        <f>-16958.62+-7046.67</f>
        <v>-24005.29</v>
      </c>
      <c r="G472" s="33">
        <f>B472+D472</f>
        <v>370744.6</v>
      </c>
      <c r="H472" s="45">
        <f>G472/G473</f>
        <v>0.24365319047847692</v>
      </c>
    </row>
    <row r="473" spans="1:8" ht="13.5" thickBot="1" x14ac:dyDescent="0.25">
      <c r="A473" s="46" t="s">
        <v>24</v>
      </c>
      <c r="B473" s="47">
        <f>SUM(B468:B472)</f>
        <v>1210746.71</v>
      </c>
      <c r="C473" s="137">
        <f>B473/B473</f>
        <v>1</v>
      </c>
      <c r="D473" s="47">
        <f>SUM(D468:D472)</f>
        <v>310861.11</v>
      </c>
      <c r="E473" s="48">
        <f>D473/D473</f>
        <v>1</v>
      </c>
      <c r="F473" s="49">
        <f>SUM(F468:F472)</f>
        <v>-83325.52</v>
      </c>
      <c r="G473" s="47">
        <f>SUM(G468:G472)</f>
        <v>1521607.8199999998</v>
      </c>
      <c r="H473" s="50">
        <f>G473/G473</f>
        <v>1</v>
      </c>
    </row>
    <row r="475" spans="1:8" ht="13.5" thickBot="1" x14ac:dyDescent="0.25">
      <c r="A475" s="22" t="s">
        <v>53</v>
      </c>
    </row>
    <row r="476" spans="1:8" ht="13.5" thickBot="1" x14ac:dyDescent="0.25">
      <c r="A476" s="23" t="s">
        <v>19</v>
      </c>
      <c r="B476" s="24" t="s">
        <v>20</v>
      </c>
      <c r="C476" s="133" t="s">
        <v>21</v>
      </c>
      <c r="D476" s="25" t="s">
        <v>22</v>
      </c>
      <c r="E476" s="26" t="s">
        <v>21</v>
      </c>
      <c r="F476" s="27" t="s">
        <v>23</v>
      </c>
      <c r="G476" s="25" t="s">
        <v>24</v>
      </c>
      <c r="H476" s="25" t="s">
        <v>21</v>
      </c>
    </row>
    <row r="477" spans="1:8" x14ac:dyDescent="0.2">
      <c r="A477" s="28" t="s">
        <v>25</v>
      </c>
      <c r="B477" s="29">
        <v>645769.62</v>
      </c>
      <c r="C477" s="134">
        <f>B477/B482</f>
        <v>0.52985883077825779</v>
      </c>
      <c r="D477" s="31">
        <v>18199.34</v>
      </c>
      <c r="E477" s="30">
        <f>D477/D482</f>
        <v>4.1611293440221839E-2</v>
      </c>
      <c r="F477" s="32">
        <f>-11283.55+-2112.77</f>
        <v>-13396.32</v>
      </c>
      <c r="G477" s="33">
        <f>B477+D477</f>
        <v>663968.96</v>
      </c>
      <c r="H477" s="34">
        <f>G477/G482</f>
        <v>0.4009175959468283</v>
      </c>
    </row>
    <row r="478" spans="1:8" x14ac:dyDescent="0.2">
      <c r="A478" s="35" t="s">
        <v>26</v>
      </c>
      <c r="B478" s="36">
        <v>169951.3</v>
      </c>
      <c r="C478" s="135">
        <f>B478/B482</f>
        <v>0.13944632004714766</v>
      </c>
      <c r="D478" s="29">
        <v>57673.16</v>
      </c>
      <c r="E478" s="37">
        <f>D478/D482</f>
        <v>0.13186493490340115</v>
      </c>
      <c r="F478" s="38">
        <f>-16762.42+-774.2</f>
        <v>-17536.62</v>
      </c>
      <c r="G478" s="33">
        <f>B478+D478</f>
        <v>227624.46</v>
      </c>
      <c r="H478" s="39">
        <f>G478/G482</f>
        <v>0.13744415293434045</v>
      </c>
    </row>
    <row r="479" spans="1:8" x14ac:dyDescent="0.2">
      <c r="A479" s="35" t="s">
        <v>27</v>
      </c>
      <c r="B479" s="36">
        <v>88305.66</v>
      </c>
      <c r="C479" s="135">
        <f>B479/B482</f>
        <v>7.2455458277368906E-2</v>
      </c>
      <c r="D479" s="33">
        <v>51471.03</v>
      </c>
      <c r="E479" s="37">
        <f>D479/D482</f>
        <v>0.11768427497922788</v>
      </c>
      <c r="F479" s="38">
        <f>-7180.85+-558.16</f>
        <v>-7739.01</v>
      </c>
      <c r="G479" s="33">
        <f>B479+D479</f>
        <v>139776.69</v>
      </c>
      <c r="H479" s="39">
        <f>G479/G482</f>
        <v>8.4399931171790135E-2</v>
      </c>
    </row>
    <row r="480" spans="1:8" x14ac:dyDescent="0.2">
      <c r="A480" s="35" t="s">
        <v>28</v>
      </c>
      <c r="B480" s="36">
        <v>60439.9</v>
      </c>
      <c r="C480" s="135">
        <f>B480/B482</f>
        <v>4.9591392587274123E-2</v>
      </c>
      <c r="D480" s="33">
        <v>44963.99</v>
      </c>
      <c r="E480" s="37">
        <f>D480/D482</f>
        <v>0.10280646342851994</v>
      </c>
      <c r="F480" s="38">
        <f>-4334.97+-851.75</f>
        <v>-5186.72</v>
      </c>
      <c r="G480" s="33">
        <f>B480+D480</f>
        <v>105403.89</v>
      </c>
      <c r="H480" s="39">
        <f>G480/G482</f>
        <v>6.3644954400042947E-2</v>
      </c>
    </row>
    <row r="481" spans="1:8" ht="13.5" thickBot="1" x14ac:dyDescent="0.25">
      <c r="A481" s="40" t="s">
        <v>29</v>
      </c>
      <c r="B481" s="41">
        <v>254291.39</v>
      </c>
      <c r="C481" s="136">
        <f>B481/B482</f>
        <v>0.20864799830995143</v>
      </c>
      <c r="D481" s="42">
        <v>265057.88</v>
      </c>
      <c r="E481" s="43">
        <f>D481/D482</f>
        <v>0.60603303324862912</v>
      </c>
      <c r="F481" s="44">
        <f>-14758.11+-11138.67</f>
        <v>-25896.78</v>
      </c>
      <c r="G481" s="33">
        <f>B481+D481</f>
        <v>519349.27</v>
      </c>
      <c r="H481" s="45">
        <f>G481/G482</f>
        <v>0.31359336554699824</v>
      </c>
    </row>
    <row r="482" spans="1:8" ht="13.5" thickBot="1" x14ac:dyDescent="0.25">
      <c r="A482" s="46" t="s">
        <v>24</v>
      </c>
      <c r="B482" s="47">
        <f>SUM(B477:B481)</f>
        <v>1218757.8700000001</v>
      </c>
      <c r="C482" s="137">
        <f>B482/B482</f>
        <v>1</v>
      </c>
      <c r="D482" s="47">
        <f>SUM(D477:D481)</f>
        <v>437365.4</v>
      </c>
      <c r="E482" s="48">
        <f>D482/D482</f>
        <v>1</v>
      </c>
      <c r="F482" s="49">
        <f>SUM(F477:F481)</f>
        <v>-69755.45</v>
      </c>
      <c r="G482" s="47">
        <f>SUM(G477:G481)</f>
        <v>1656123.2699999998</v>
      </c>
      <c r="H482" s="50">
        <f>G482/G482</f>
        <v>1</v>
      </c>
    </row>
    <row r="484" spans="1:8" ht="14.25" customHeight="1" x14ac:dyDescent="0.2"/>
    <row r="485" spans="1:8" ht="13.5" thickBot="1" x14ac:dyDescent="0.25">
      <c r="A485" s="22" t="s">
        <v>52</v>
      </c>
    </row>
    <row r="486" spans="1:8" ht="13.5" thickBot="1" x14ac:dyDescent="0.25">
      <c r="A486" s="23" t="s">
        <v>19</v>
      </c>
      <c r="B486" s="24" t="s">
        <v>20</v>
      </c>
      <c r="C486" s="133" t="s">
        <v>21</v>
      </c>
      <c r="D486" s="25" t="s">
        <v>22</v>
      </c>
      <c r="E486" s="26" t="s">
        <v>21</v>
      </c>
      <c r="F486" s="27" t="s">
        <v>23</v>
      </c>
      <c r="G486" s="25" t="s">
        <v>24</v>
      </c>
      <c r="H486" s="25" t="s">
        <v>21</v>
      </c>
    </row>
    <row r="487" spans="1:8" x14ac:dyDescent="0.2">
      <c r="A487" s="28" t="s">
        <v>25</v>
      </c>
      <c r="B487" s="29">
        <v>465650.5</v>
      </c>
      <c r="C487" s="134">
        <f>B487/B492</f>
        <v>0.43082704307096337</v>
      </c>
      <c r="D487" s="31">
        <v>17992.97</v>
      </c>
      <c r="E487" s="30">
        <f>D487/D492</f>
        <v>4.4768116667902001E-2</v>
      </c>
      <c r="F487" s="32">
        <f>-260+-8923.68</f>
        <v>-9183.68</v>
      </c>
      <c r="G487" s="33">
        <f>B487+D487</f>
        <v>483643.47</v>
      </c>
      <c r="H487" s="34">
        <f>G487/G492</f>
        <v>0.326181337488332</v>
      </c>
    </row>
    <row r="488" spans="1:8" x14ac:dyDescent="0.2">
      <c r="A488" s="35" t="s">
        <v>26</v>
      </c>
      <c r="B488" s="36">
        <v>176393.34</v>
      </c>
      <c r="C488" s="135">
        <f>B488/B492</f>
        <v>0.16320184578264404</v>
      </c>
      <c r="D488" s="29">
        <v>53055.28</v>
      </c>
      <c r="E488" s="37">
        <f>D488/D492</f>
        <v>0.13200627605604898</v>
      </c>
      <c r="F488" s="38">
        <f>-361.66+-20948.79</f>
        <v>-21310.45</v>
      </c>
      <c r="G488" s="33">
        <f>B488+D488</f>
        <v>229448.62</v>
      </c>
      <c r="H488" s="39">
        <f>G488/G492</f>
        <v>0.15474592835183332</v>
      </c>
    </row>
    <row r="489" spans="1:8" x14ac:dyDescent="0.2">
      <c r="A489" s="35" t="s">
        <v>27</v>
      </c>
      <c r="B489" s="36">
        <v>95416.639999999999</v>
      </c>
      <c r="C489" s="135">
        <f>B489/B492</f>
        <v>8.8280950779536599E-2</v>
      </c>
      <c r="D489" s="33">
        <v>49442.11</v>
      </c>
      <c r="E489" s="37">
        <f>D489/D492</f>
        <v>0.12301638633239784</v>
      </c>
      <c r="F489" s="38">
        <f>-612.15+-9746.21</f>
        <v>-10358.359999999999</v>
      </c>
      <c r="G489" s="33">
        <f>B489+D489</f>
        <v>144858.75</v>
      </c>
      <c r="H489" s="39">
        <f>G489/G492</f>
        <v>9.7696389495112834E-2</v>
      </c>
    </row>
    <row r="490" spans="1:8" x14ac:dyDescent="0.2">
      <c r="A490" s="35" t="s">
        <v>28</v>
      </c>
      <c r="B490" s="36">
        <v>72068.11</v>
      </c>
      <c r="C490" s="135">
        <f>B490/B492</f>
        <v>6.6678529779336498E-2</v>
      </c>
      <c r="D490" s="33">
        <v>51374.37</v>
      </c>
      <c r="E490" s="37">
        <f>D490/D492</f>
        <v>0.12782402182074248</v>
      </c>
      <c r="F490" s="38">
        <f>-1017.62+-10248.48</f>
        <v>-11266.1</v>
      </c>
      <c r="G490" s="33">
        <f>B490+D490</f>
        <v>123442.48000000001</v>
      </c>
      <c r="H490" s="39">
        <f>G490/G492</f>
        <v>8.3252717604719612E-2</v>
      </c>
    </row>
    <row r="491" spans="1:8" ht="13.5" thickBot="1" x14ac:dyDescent="0.25">
      <c r="A491" s="40" t="s">
        <v>29</v>
      </c>
      <c r="B491" s="41">
        <v>271300.73</v>
      </c>
      <c r="C491" s="136">
        <f>B491/B492</f>
        <v>0.25101163058751963</v>
      </c>
      <c r="D491" s="42">
        <v>230050.1</v>
      </c>
      <c r="E491" s="43">
        <f>D491/D492</f>
        <v>0.57238519912290864</v>
      </c>
      <c r="F491" s="44">
        <f>-8145.81+-18061.21</f>
        <v>-26207.02</v>
      </c>
      <c r="G491" s="33">
        <f>B491+D491</f>
        <v>501350.82999999996</v>
      </c>
      <c r="H491" s="45">
        <f>G491/G492</f>
        <v>0.33812362706000221</v>
      </c>
    </row>
    <row r="492" spans="1:8" ht="13.5" thickBot="1" x14ac:dyDescent="0.25">
      <c r="A492" s="46" t="s">
        <v>24</v>
      </c>
      <c r="B492" s="47">
        <f>SUM(B487:B491)</f>
        <v>1080829.3199999998</v>
      </c>
      <c r="C492" s="137">
        <f>B492/B492</f>
        <v>1</v>
      </c>
      <c r="D492" s="47">
        <f>SUM(D487:D491)</f>
        <v>401914.83</v>
      </c>
      <c r="E492" s="48">
        <f>D492/D492</f>
        <v>1</v>
      </c>
      <c r="F492" s="49">
        <f>SUM(F487:F491)</f>
        <v>-78325.61</v>
      </c>
      <c r="G492" s="47">
        <f>SUM(G487:G491)</f>
        <v>1482744.15</v>
      </c>
      <c r="H492" s="50">
        <f>G492/G492</f>
        <v>1</v>
      </c>
    </row>
    <row r="494" spans="1:8" ht="16.5" customHeight="1" x14ac:dyDescent="0.2"/>
    <row r="495" spans="1:8" ht="16.5" customHeight="1" thickBot="1" x14ac:dyDescent="0.25">
      <c r="A495" s="22" t="s">
        <v>51</v>
      </c>
    </row>
    <row r="496" spans="1:8" ht="16.5" customHeight="1" thickBot="1" x14ac:dyDescent="0.25">
      <c r="A496" s="23" t="s">
        <v>19</v>
      </c>
      <c r="B496" s="24" t="s">
        <v>20</v>
      </c>
      <c r="C496" s="133" t="s">
        <v>21</v>
      </c>
      <c r="D496" s="25" t="s">
        <v>22</v>
      </c>
      <c r="E496" s="26" t="s">
        <v>21</v>
      </c>
      <c r="F496" s="27" t="s">
        <v>23</v>
      </c>
      <c r="G496" s="25" t="s">
        <v>24</v>
      </c>
      <c r="H496" s="25" t="s">
        <v>21</v>
      </c>
    </row>
    <row r="497" spans="1:8" ht="16.5" customHeight="1" x14ac:dyDescent="0.2">
      <c r="A497" s="28" t="s">
        <v>25</v>
      </c>
      <c r="B497" s="29">
        <v>812207.88</v>
      </c>
      <c r="C497" s="134">
        <f>B497/B502</f>
        <v>0.55113892989876001</v>
      </c>
      <c r="D497" s="31">
        <v>14538.18</v>
      </c>
      <c r="E497" s="30">
        <f>D497/D502</f>
        <v>4.2393553926773145E-2</v>
      </c>
      <c r="F497" s="32">
        <f>-7642.44+-616.02</f>
        <v>-8258.4599999999991</v>
      </c>
      <c r="G497" s="33">
        <f>B497+D497</f>
        <v>826746.06</v>
      </c>
      <c r="H497" s="34">
        <f>G497/G502</f>
        <v>0.45510035058720061</v>
      </c>
    </row>
    <row r="498" spans="1:8" ht="16.5" customHeight="1" x14ac:dyDescent="0.2">
      <c r="A498" s="35" t="s">
        <v>26</v>
      </c>
      <c r="B498" s="36">
        <v>171064.37</v>
      </c>
      <c r="C498" s="135">
        <f>B498/B502</f>
        <v>0.11607894499325165</v>
      </c>
      <c r="D498" s="29">
        <v>50047.89</v>
      </c>
      <c r="E498" s="37">
        <f>D498/D502</f>
        <v>0.14594040819663881</v>
      </c>
      <c r="F498" s="38">
        <f>-28492.29+-1049.34</f>
        <v>-29541.63</v>
      </c>
      <c r="G498" s="33">
        <f>B498+D498</f>
        <v>221112.26</v>
      </c>
      <c r="H498" s="39">
        <f>G498/G502</f>
        <v>0.12171605274433149</v>
      </c>
    </row>
    <row r="499" spans="1:8" ht="16.5" customHeight="1" x14ac:dyDescent="0.2">
      <c r="A499" s="35" t="s">
        <v>27</v>
      </c>
      <c r="B499" s="36">
        <v>116148.01</v>
      </c>
      <c r="C499" s="135">
        <f>B499/B502</f>
        <v>7.8814416256673681E-2</v>
      </c>
      <c r="D499" s="33">
        <v>39514.03</v>
      </c>
      <c r="E499" s="37">
        <f>D499/D502</f>
        <v>0.11522351227382875</v>
      </c>
      <c r="F499" s="38">
        <f>-26019.51+-1179.54</f>
        <v>-27199.05</v>
      </c>
      <c r="G499" s="33">
        <f>B499+D499</f>
        <v>155662.03999999998</v>
      </c>
      <c r="H499" s="39">
        <f>G499/G502</f>
        <v>8.5687555592486073E-2</v>
      </c>
    </row>
    <row r="500" spans="1:8" ht="16.5" customHeight="1" x14ac:dyDescent="0.2">
      <c r="A500" s="35" t="s">
        <v>28</v>
      </c>
      <c r="B500" s="36">
        <v>118812.04</v>
      </c>
      <c r="C500" s="135">
        <f>B500/B502</f>
        <v>8.0622143908144137E-2</v>
      </c>
      <c r="D500" s="33">
        <v>37049.78</v>
      </c>
      <c r="E500" s="37">
        <f>D500/D502</f>
        <v>0.10803772180596753</v>
      </c>
      <c r="F500" s="38">
        <f>-16514.48+-1433.95</f>
        <v>-17948.43</v>
      </c>
      <c r="G500" s="33">
        <f>B500+D500</f>
        <v>155861.82</v>
      </c>
      <c r="H500" s="39">
        <f>G500/G502</f>
        <v>8.5797528838733331E-2</v>
      </c>
    </row>
    <row r="501" spans="1:8" ht="16.5" customHeight="1" thickBot="1" x14ac:dyDescent="0.25">
      <c r="A501" s="40" t="s">
        <v>29</v>
      </c>
      <c r="B501" s="41">
        <v>255457.61</v>
      </c>
      <c r="C501" s="136">
        <f>B501/B502</f>
        <v>0.17334556494317041</v>
      </c>
      <c r="D501" s="42">
        <v>201783.86</v>
      </c>
      <c r="E501" s="43">
        <f>D501/D502</f>
        <v>0.58840480379679172</v>
      </c>
      <c r="F501" s="44">
        <f>-14990.49+-11041.82</f>
        <v>-26032.309999999998</v>
      </c>
      <c r="G501" s="33">
        <f>B501+D501</f>
        <v>457241.47</v>
      </c>
      <c r="H501" s="45">
        <f>G501/G502</f>
        <v>0.25169851223724843</v>
      </c>
    </row>
    <row r="502" spans="1:8" ht="16.5" customHeight="1" thickBot="1" x14ac:dyDescent="0.25">
      <c r="A502" s="46" t="s">
        <v>24</v>
      </c>
      <c r="B502" s="47">
        <f>SUM(B497:B501)</f>
        <v>1473689.9100000001</v>
      </c>
      <c r="C502" s="137">
        <f>B502/B502</f>
        <v>1</v>
      </c>
      <c r="D502" s="47">
        <f>SUM(D497:D501)</f>
        <v>342933.74</v>
      </c>
      <c r="E502" s="48">
        <f>D502/D502</f>
        <v>1</v>
      </c>
      <c r="F502" s="49">
        <f>SUM(F497:F501)</f>
        <v>-108979.88</v>
      </c>
      <c r="G502" s="47">
        <f>SUM(G497:G501)</f>
        <v>1816623.6500000001</v>
      </c>
      <c r="H502" s="50">
        <f>G502/G502</f>
        <v>1</v>
      </c>
    </row>
    <row r="503" spans="1:8" ht="16.5" customHeight="1" x14ac:dyDescent="0.2"/>
    <row r="504" spans="1:8" ht="16.5" customHeight="1" x14ac:dyDescent="0.2"/>
    <row r="505" spans="1:8" ht="16.5" customHeight="1" thickBot="1" x14ac:dyDescent="0.25">
      <c r="A505" s="22" t="s">
        <v>49</v>
      </c>
    </row>
    <row r="506" spans="1:8" ht="16.5" customHeight="1" thickBot="1" x14ac:dyDescent="0.25">
      <c r="A506" s="23" t="s">
        <v>19</v>
      </c>
      <c r="B506" s="24" t="s">
        <v>20</v>
      </c>
      <c r="C506" s="133" t="s">
        <v>21</v>
      </c>
      <c r="D506" s="25" t="s">
        <v>22</v>
      </c>
      <c r="E506" s="26" t="s">
        <v>21</v>
      </c>
      <c r="F506" s="27" t="s">
        <v>23</v>
      </c>
      <c r="G506" s="25" t="s">
        <v>24</v>
      </c>
      <c r="H506" s="25" t="s">
        <v>21</v>
      </c>
    </row>
    <row r="507" spans="1:8" ht="16.5" customHeight="1" x14ac:dyDescent="0.2">
      <c r="A507" s="28" t="s">
        <v>25</v>
      </c>
      <c r="B507" s="29">
        <v>756789.4</v>
      </c>
      <c r="C507" s="134">
        <f>B507/B512</f>
        <v>0.49900809213485303</v>
      </c>
      <c r="D507" s="31">
        <v>17017.66</v>
      </c>
      <c r="E507" s="30">
        <f>D507/D512</f>
        <v>5.2408141871286437E-2</v>
      </c>
      <c r="F507" s="32">
        <f>-258.74+-7533.82</f>
        <v>-7792.5599999999995</v>
      </c>
      <c r="G507" s="33">
        <f>B507+D507</f>
        <v>773807.06</v>
      </c>
      <c r="H507" s="34">
        <f>G507/G512</f>
        <v>0.42025006138592802</v>
      </c>
    </row>
    <row r="508" spans="1:8" ht="16.5" customHeight="1" x14ac:dyDescent="0.2">
      <c r="A508" s="35" t="s">
        <v>26</v>
      </c>
      <c r="B508" s="36">
        <v>244389.45</v>
      </c>
      <c r="C508" s="135">
        <f>B508/B512</f>
        <v>0.16114431991566749</v>
      </c>
      <c r="D508" s="29">
        <v>49558.7</v>
      </c>
      <c r="E508" s="37">
        <f>D508/D512</f>
        <v>0.15262259209295068</v>
      </c>
      <c r="F508" s="38">
        <f>-1009.45+-30539.43</f>
        <v>-31548.880000000001</v>
      </c>
      <c r="G508" s="33">
        <f>B508+D508</f>
        <v>293948.15000000002</v>
      </c>
      <c r="H508" s="39">
        <f>G508/G512</f>
        <v>0.15964151074271662</v>
      </c>
    </row>
    <row r="509" spans="1:8" ht="16.5" customHeight="1" x14ac:dyDescent="0.2">
      <c r="A509" s="35" t="s">
        <v>27</v>
      </c>
      <c r="B509" s="36">
        <v>145538.88</v>
      </c>
      <c r="C509" s="135">
        <f>B509/B512</f>
        <v>9.5964714675236359E-2</v>
      </c>
      <c r="D509" s="33">
        <v>45963.44</v>
      </c>
      <c r="E509" s="37">
        <f>D509/D512</f>
        <v>0.14155051190424311</v>
      </c>
      <c r="F509" s="38">
        <f>-2133.79+-21726.83</f>
        <v>-23860.620000000003</v>
      </c>
      <c r="G509" s="33">
        <f>B509+D509</f>
        <v>191502.32</v>
      </c>
      <c r="H509" s="39">
        <f>G509/G512</f>
        <v>0.10400378323706122</v>
      </c>
    </row>
    <row r="510" spans="1:8" ht="16.5" customHeight="1" x14ac:dyDescent="0.2">
      <c r="A510" s="35" t="s">
        <v>28</v>
      </c>
      <c r="B510" s="36">
        <v>123775.31</v>
      </c>
      <c r="C510" s="135">
        <f>B510/B512</f>
        <v>8.1614358362445336E-2</v>
      </c>
      <c r="D510" s="33">
        <v>56104.61</v>
      </c>
      <c r="E510" s="37">
        <f>D510/D512</f>
        <v>0.17278159044858082</v>
      </c>
      <c r="F510" s="38">
        <f>-968.73+-7756.64</f>
        <v>-8725.3700000000008</v>
      </c>
      <c r="G510" s="33">
        <f>B510+D510</f>
        <v>179879.91999999998</v>
      </c>
      <c r="H510" s="39">
        <f>G510/G512</f>
        <v>9.7691726180549193E-2</v>
      </c>
    </row>
    <row r="511" spans="1:8" ht="16.5" customHeight="1" thickBot="1" x14ac:dyDescent="0.25">
      <c r="A511" s="40" t="s">
        <v>29</v>
      </c>
      <c r="B511" s="41">
        <v>246094.39</v>
      </c>
      <c r="C511" s="136">
        <f>B511/B512</f>
        <v>0.16226851491179772</v>
      </c>
      <c r="D511" s="42">
        <v>156069.64000000001</v>
      </c>
      <c r="E511" s="43">
        <f>D511/D512</f>
        <v>0.48063716368293885</v>
      </c>
      <c r="F511" s="44">
        <f>-10485.22+-10796.65</f>
        <v>-21281.87</v>
      </c>
      <c r="G511" s="33">
        <f>B511+D511</f>
        <v>402164.03</v>
      </c>
      <c r="H511" s="45">
        <f>G511/G512</f>
        <v>0.21841291845374503</v>
      </c>
    </row>
    <row r="512" spans="1:8" ht="16.5" customHeight="1" thickBot="1" x14ac:dyDescent="0.25">
      <c r="A512" s="46" t="s">
        <v>24</v>
      </c>
      <c r="B512" s="47">
        <f>SUM(B507:B511)</f>
        <v>1516587.4300000002</v>
      </c>
      <c r="C512" s="137">
        <f>B512/B512</f>
        <v>1</v>
      </c>
      <c r="D512" s="47">
        <f>SUM(D507:D511)</f>
        <v>324714.05000000005</v>
      </c>
      <c r="E512" s="48">
        <f>D512/D512</f>
        <v>1</v>
      </c>
      <c r="F512" s="49">
        <f>SUM(F507:F511)</f>
        <v>-93209.3</v>
      </c>
      <c r="G512" s="47">
        <f>SUM(G507:G511)</f>
        <v>1841301.48</v>
      </c>
      <c r="H512" s="50">
        <f>G512/G512</f>
        <v>1</v>
      </c>
    </row>
    <row r="513" spans="1:8" ht="16.5" customHeight="1" x14ac:dyDescent="0.2"/>
    <row r="514" spans="1:8" ht="16.5" customHeight="1" x14ac:dyDescent="0.2"/>
    <row r="515" spans="1:8" ht="16.5" customHeight="1" thickBot="1" x14ac:dyDescent="0.25">
      <c r="A515" s="22" t="s">
        <v>50</v>
      </c>
    </row>
    <row r="516" spans="1:8" ht="16.5" customHeight="1" thickBot="1" x14ac:dyDescent="0.25">
      <c r="A516" s="23" t="s">
        <v>19</v>
      </c>
      <c r="B516" s="24" t="s">
        <v>20</v>
      </c>
      <c r="C516" s="133" t="s">
        <v>21</v>
      </c>
      <c r="D516" s="25" t="s">
        <v>22</v>
      </c>
      <c r="E516" s="26" t="s">
        <v>21</v>
      </c>
      <c r="F516" s="27" t="s">
        <v>23</v>
      </c>
      <c r="G516" s="25" t="s">
        <v>24</v>
      </c>
      <c r="H516" s="25" t="s">
        <v>21</v>
      </c>
    </row>
    <row r="517" spans="1:8" ht="16.5" customHeight="1" x14ac:dyDescent="0.2">
      <c r="A517" s="28" t="s">
        <v>25</v>
      </c>
      <c r="B517" s="29">
        <v>556037.89</v>
      </c>
      <c r="C517" s="134">
        <f>B517/B522</f>
        <v>0.42817469652433388</v>
      </c>
      <c r="D517" s="31">
        <v>19711.39</v>
      </c>
      <c r="E517" s="30">
        <f>D517/D522</f>
        <v>5.9717183487845313E-2</v>
      </c>
      <c r="F517" s="32">
        <f>-8931.74+-304.05</f>
        <v>-9235.7899999999991</v>
      </c>
      <c r="G517" s="33">
        <f>B517+D517</f>
        <v>575749.28</v>
      </c>
      <c r="H517" s="34">
        <f>G517/G522</f>
        <v>0.35350171779639228</v>
      </c>
    </row>
    <row r="518" spans="1:8" ht="16.5" customHeight="1" x14ac:dyDescent="0.2">
      <c r="A518" s="35" t="s">
        <v>26</v>
      </c>
      <c r="B518" s="36">
        <v>225070.63</v>
      </c>
      <c r="C518" s="135">
        <f>B518/B522</f>
        <v>0.17331471547162125</v>
      </c>
      <c r="D518" s="29">
        <v>70903.039999999994</v>
      </c>
      <c r="E518" s="37">
        <f>D518/D522</f>
        <v>0.21480625412647386</v>
      </c>
      <c r="F518" s="38">
        <f>-20400.57+-1690.73</f>
        <v>-22091.3</v>
      </c>
      <c r="G518" s="33">
        <f>B518+D518</f>
        <v>295973.67</v>
      </c>
      <c r="H518" s="39">
        <f>G518/G522</f>
        <v>0.18172354599818608</v>
      </c>
    </row>
    <row r="519" spans="1:8" ht="16.5" customHeight="1" x14ac:dyDescent="0.2">
      <c r="A519" s="35" t="s">
        <v>27</v>
      </c>
      <c r="B519" s="36">
        <v>183446.92</v>
      </c>
      <c r="C519" s="135">
        <f>B519/B522</f>
        <v>0.14126254831181337</v>
      </c>
      <c r="D519" s="33">
        <v>65968.58</v>
      </c>
      <c r="E519" s="37">
        <f>D519/D522</f>
        <v>0.19985692517334408</v>
      </c>
      <c r="F519" s="38">
        <f>-5349.08+-740.21</f>
        <v>-6089.29</v>
      </c>
      <c r="G519" s="33">
        <f>B519+D519</f>
        <v>249415.5</v>
      </c>
      <c r="H519" s="39">
        <f>G519/G522</f>
        <v>0.15313750404524357</v>
      </c>
    </row>
    <row r="520" spans="1:8" ht="16.5" customHeight="1" x14ac:dyDescent="0.2">
      <c r="A520" s="35" t="s">
        <v>28</v>
      </c>
      <c r="B520" s="36">
        <v>153396.31</v>
      </c>
      <c r="C520" s="135">
        <f>B520/B522</f>
        <v>0.11812219933825488</v>
      </c>
      <c r="D520" s="33">
        <v>43158.73</v>
      </c>
      <c r="E520" s="37">
        <f>D520/D522</f>
        <v>0.13075271700840857</v>
      </c>
      <c r="F520" s="38">
        <f>-4313.85+-1064.2</f>
        <v>-5378.05</v>
      </c>
      <c r="G520" s="33">
        <f>B520+D520</f>
        <v>196555.04</v>
      </c>
      <c r="H520" s="39">
        <f>G520/G522</f>
        <v>0.12068194732529861</v>
      </c>
    </row>
    <row r="521" spans="1:8" ht="16.5" customHeight="1" thickBot="1" x14ac:dyDescent="0.25">
      <c r="A521" s="40" t="s">
        <v>29</v>
      </c>
      <c r="B521" s="41">
        <v>180672.14</v>
      </c>
      <c r="C521" s="136">
        <f>B521/B522</f>
        <v>0.13912584035397654</v>
      </c>
      <c r="D521" s="42">
        <v>130337.29</v>
      </c>
      <c r="E521" s="43">
        <f>D521/D522</f>
        <v>0.39486692020392811</v>
      </c>
      <c r="F521" s="44">
        <f>-4922.45+-9888.07</f>
        <v>-14810.52</v>
      </c>
      <c r="G521" s="33">
        <f>B521+D521</f>
        <v>311009.43</v>
      </c>
      <c r="H521" s="45">
        <f>G521/G522</f>
        <v>0.19095528483487953</v>
      </c>
    </row>
    <row r="522" spans="1:8" ht="16.5" customHeight="1" thickBot="1" x14ac:dyDescent="0.25">
      <c r="A522" s="46" t="s">
        <v>24</v>
      </c>
      <c r="B522" s="47">
        <f>SUM(B517:B521)</f>
        <v>1298623.8900000001</v>
      </c>
      <c r="C522" s="137">
        <f>B522/B522</f>
        <v>1</v>
      </c>
      <c r="D522" s="47">
        <f>SUM(D517:D521)</f>
        <v>330079.03000000003</v>
      </c>
      <c r="E522" s="48">
        <f>D522/D522</f>
        <v>1</v>
      </c>
      <c r="F522" s="49">
        <f>SUM(F517:F521)</f>
        <v>-57604.95</v>
      </c>
      <c r="G522" s="47">
        <f>SUM(G517:G521)</f>
        <v>1628702.92</v>
      </c>
      <c r="H522" s="50">
        <f>G522/G522</f>
        <v>1</v>
      </c>
    </row>
    <row r="523" spans="1:8" ht="16.5" customHeight="1" x14ac:dyDescent="0.2"/>
    <row r="524" spans="1:8" ht="16.5" customHeight="1" x14ac:dyDescent="0.2"/>
    <row r="525" spans="1:8" ht="16.5" customHeight="1" thickBot="1" x14ac:dyDescent="0.25">
      <c r="A525" s="22" t="s">
        <v>30</v>
      </c>
    </row>
    <row r="526" spans="1:8" ht="16.5" customHeight="1" thickBot="1" x14ac:dyDescent="0.25">
      <c r="A526" s="23" t="s">
        <v>19</v>
      </c>
      <c r="B526" s="24" t="s">
        <v>20</v>
      </c>
      <c r="C526" s="133" t="s">
        <v>21</v>
      </c>
      <c r="D526" s="25" t="s">
        <v>22</v>
      </c>
      <c r="E526" s="26" t="s">
        <v>21</v>
      </c>
      <c r="F526" s="27" t="s">
        <v>23</v>
      </c>
      <c r="G526" s="25" t="s">
        <v>24</v>
      </c>
      <c r="H526" s="25" t="s">
        <v>21</v>
      </c>
    </row>
    <row r="527" spans="1:8" ht="16.5" customHeight="1" x14ac:dyDescent="0.2">
      <c r="A527" s="28" t="s">
        <v>25</v>
      </c>
      <c r="B527" s="29">
        <v>794302.07</v>
      </c>
      <c r="C527" s="134">
        <f>B527/B532</f>
        <v>0.48882521575318266</v>
      </c>
      <c r="D527" s="31">
        <v>24029.06</v>
      </c>
      <c r="E527" s="30">
        <f>D527/D532</f>
        <v>8.0979134335249212E-2</v>
      </c>
      <c r="F527" s="32">
        <f>-8492.44+-368</f>
        <v>-8860.44</v>
      </c>
      <c r="G527" s="33">
        <f>B527+D527</f>
        <v>818331.13</v>
      </c>
      <c r="H527" s="34">
        <f>G527/G532</f>
        <v>0.42584774367382694</v>
      </c>
    </row>
    <row r="528" spans="1:8" ht="16.5" customHeight="1" x14ac:dyDescent="0.2">
      <c r="A528" s="35" t="s">
        <v>26</v>
      </c>
      <c r="B528" s="36">
        <v>312673.3</v>
      </c>
      <c r="C528" s="135">
        <f>B528/B532</f>
        <v>0.19242376308141762</v>
      </c>
      <c r="D528" s="29">
        <v>73950.600000000006</v>
      </c>
      <c r="E528" s="37">
        <f>D528/D532</f>
        <v>0.24921722162965512</v>
      </c>
      <c r="F528" s="38">
        <f>-14655.55+-445.22</f>
        <v>-15100.769999999999</v>
      </c>
      <c r="G528" s="33">
        <f>B528+D528</f>
        <v>386623.9</v>
      </c>
      <c r="H528" s="39">
        <f>G528/G532</f>
        <v>0.20119351376181338</v>
      </c>
    </row>
    <row r="529" spans="1:8" ht="16.5" customHeight="1" x14ac:dyDescent="0.2">
      <c r="A529" s="35" t="s">
        <v>27</v>
      </c>
      <c r="B529" s="36">
        <v>232994.07</v>
      </c>
      <c r="C529" s="135">
        <f>B529/B532</f>
        <v>0.14338798907695424</v>
      </c>
      <c r="D529" s="33">
        <v>46340.91</v>
      </c>
      <c r="E529" s="37">
        <f>D529/D532</f>
        <v>0.15617118506124225</v>
      </c>
      <c r="F529" s="38">
        <f>-5930.99+-1013.56</f>
        <v>-6944.5499999999993</v>
      </c>
      <c r="G529" s="33">
        <f>B529+D529</f>
        <v>279334.98</v>
      </c>
      <c r="H529" s="39">
        <f>G529/G532</f>
        <v>0.14536190375914645</v>
      </c>
    </row>
    <row r="530" spans="1:8" ht="16.5" customHeight="1" x14ac:dyDescent="0.2">
      <c r="A530" s="35" t="s">
        <v>28</v>
      </c>
      <c r="B530" s="36">
        <v>126630.55</v>
      </c>
      <c r="C530" s="135">
        <f>B530/B532</f>
        <v>7.7930309214344851E-2</v>
      </c>
      <c r="D530" s="33">
        <v>42265.02</v>
      </c>
      <c r="E530" s="37">
        <f>D530/D532</f>
        <v>0.14243523185101681</v>
      </c>
      <c r="F530" s="38">
        <f>-2136.03+-257.16</f>
        <v>-2393.19</v>
      </c>
      <c r="G530" s="33">
        <f>B530+D530</f>
        <v>168895.57</v>
      </c>
      <c r="H530" s="39">
        <f>G530/G532</f>
        <v>8.7890824098314446E-2</v>
      </c>
    </row>
    <row r="531" spans="1:8" ht="16.5" customHeight="1" thickBot="1" x14ac:dyDescent="0.25">
      <c r="A531" s="40" t="s">
        <v>29</v>
      </c>
      <c r="B531" s="41">
        <v>158320.42000000001</v>
      </c>
      <c r="C531" s="136">
        <f>B531/B532</f>
        <v>9.7432722874100652E-2</v>
      </c>
      <c r="D531" s="42">
        <v>110145.91</v>
      </c>
      <c r="E531" s="43">
        <f>D531/D532</f>
        <v>0.37119722712283665</v>
      </c>
      <c r="F531" s="44">
        <f>-4639.74+-11983.77</f>
        <v>-16623.510000000002</v>
      </c>
      <c r="G531" s="33">
        <f>B531+D531</f>
        <v>268466.33</v>
      </c>
      <c r="H531" s="45">
        <f>G531/G532</f>
        <v>0.1397060147068987</v>
      </c>
    </row>
    <row r="532" spans="1:8" ht="16.5" customHeight="1" thickBot="1" x14ac:dyDescent="0.25">
      <c r="A532" s="46" t="s">
        <v>24</v>
      </c>
      <c r="B532" s="47">
        <f>SUM(B527:B531)</f>
        <v>1624920.41</v>
      </c>
      <c r="C532" s="137">
        <f>B532/B532</f>
        <v>1</v>
      </c>
      <c r="D532" s="47">
        <f>SUM(D527:D531)</f>
        <v>296731.5</v>
      </c>
      <c r="E532" s="48">
        <f>D532/D532</f>
        <v>1</v>
      </c>
      <c r="F532" s="49">
        <f>SUM(F527:F531)</f>
        <v>-49922.46</v>
      </c>
      <c r="G532" s="47">
        <f>SUM(G527:G531)</f>
        <v>1921651.9100000001</v>
      </c>
      <c r="H532" s="50">
        <f>G532/G532</f>
        <v>1</v>
      </c>
    </row>
    <row r="533" spans="1:8" ht="16.5" customHeight="1" x14ac:dyDescent="0.2">
      <c r="A533" s="17"/>
      <c r="B533" s="51"/>
      <c r="C533" s="138"/>
      <c r="D533" s="51"/>
      <c r="E533" s="52"/>
      <c r="F533" s="53"/>
      <c r="G533" s="51"/>
      <c r="H533" s="52"/>
    </row>
    <row r="534" spans="1:8" ht="16.5" customHeight="1" x14ac:dyDescent="0.2"/>
    <row r="535" spans="1:8" ht="16.5" customHeight="1" thickBot="1" x14ac:dyDescent="0.25">
      <c r="A535" s="22" t="s">
        <v>31</v>
      </c>
    </row>
    <row r="536" spans="1:8" ht="16.5" customHeight="1" thickBot="1" x14ac:dyDescent="0.25">
      <c r="A536" s="23" t="s">
        <v>19</v>
      </c>
      <c r="B536" s="24" t="s">
        <v>20</v>
      </c>
      <c r="C536" s="133" t="s">
        <v>21</v>
      </c>
      <c r="D536" s="25" t="s">
        <v>22</v>
      </c>
      <c r="E536" s="26" t="s">
        <v>21</v>
      </c>
      <c r="F536" s="27" t="s">
        <v>23</v>
      </c>
      <c r="G536" s="25" t="s">
        <v>24</v>
      </c>
      <c r="H536" s="25" t="s">
        <v>21</v>
      </c>
    </row>
    <row r="537" spans="1:8" ht="16.5" customHeight="1" x14ac:dyDescent="0.2">
      <c r="A537" s="28" t="s">
        <v>25</v>
      </c>
      <c r="B537" s="29">
        <v>863601.25</v>
      </c>
      <c r="C537" s="134">
        <f>B537/B542</f>
        <v>0.50883992907102182</v>
      </c>
      <c r="D537" s="31">
        <v>8462.23</v>
      </c>
      <c r="E537" s="30">
        <f>D537/D542</f>
        <v>4.1465242467564688E-2</v>
      </c>
      <c r="F537" s="32">
        <f>-188.73+-8824.06</f>
        <v>-9012.7899999999991</v>
      </c>
      <c r="G537" s="33">
        <f>B537+D537</f>
        <v>872063.48</v>
      </c>
      <c r="H537" s="34">
        <f>G537/G542</f>
        <v>0.45867264990336304</v>
      </c>
    </row>
    <row r="538" spans="1:8" ht="16.5" customHeight="1" x14ac:dyDescent="0.2">
      <c r="A538" s="35" t="s">
        <v>26</v>
      </c>
      <c r="B538" s="36">
        <v>409031.59</v>
      </c>
      <c r="C538" s="135">
        <f>B538/B542</f>
        <v>0.24100428900885368</v>
      </c>
      <c r="D538" s="29">
        <v>40536.230000000003</v>
      </c>
      <c r="E538" s="37">
        <f>D538/D542</f>
        <v>0.19862903816972238</v>
      </c>
      <c r="F538" s="38">
        <f>-1118.53+-15129.69</f>
        <v>-16248.220000000001</v>
      </c>
      <c r="G538" s="33">
        <f>B538+D538</f>
        <v>449567.82</v>
      </c>
      <c r="H538" s="39">
        <f>G538/G542</f>
        <v>0.23645579483580501</v>
      </c>
    </row>
    <row r="539" spans="1:8" ht="16.5" customHeight="1" x14ac:dyDescent="0.2">
      <c r="A539" s="35" t="s">
        <v>27</v>
      </c>
      <c r="B539" s="36">
        <v>191226.21</v>
      </c>
      <c r="C539" s="135">
        <f>B539/B542</f>
        <v>0.11267182757426569</v>
      </c>
      <c r="D539" s="33">
        <v>36132.559999999998</v>
      </c>
      <c r="E539" s="37">
        <f>D539/D542</f>
        <v>0.17705089100317872</v>
      </c>
      <c r="F539" s="38">
        <f>-352.27+-8135.32</f>
        <v>-8487.59</v>
      </c>
      <c r="G539" s="33">
        <f>B539+D539</f>
        <v>227358.77</v>
      </c>
      <c r="H539" s="39">
        <f>G539/G542</f>
        <v>0.11958217710787435</v>
      </c>
    </row>
    <row r="540" spans="1:8" ht="16.5" customHeight="1" x14ac:dyDescent="0.2">
      <c r="A540" s="35" t="s">
        <v>28</v>
      </c>
      <c r="B540" s="36">
        <v>90446.83</v>
      </c>
      <c r="C540" s="135">
        <f>B540/B542</f>
        <v>5.3291908229520013E-2</v>
      </c>
      <c r="D540" s="33">
        <v>29617.11</v>
      </c>
      <c r="E540" s="37">
        <f>D540/D542</f>
        <v>0.14512494311056717</v>
      </c>
      <c r="F540" s="38">
        <f>-496.55+-5697.96</f>
        <v>-6194.51</v>
      </c>
      <c r="G540" s="33">
        <f>B540+D540</f>
        <v>120063.94</v>
      </c>
      <c r="H540" s="39">
        <f>G540/G542</f>
        <v>6.3149124783482946E-2</v>
      </c>
    </row>
    <row r="541" spans="1:8" ht="16.5" customHeight="1" thickBot="1" x14ac:dyDescent="0.25">
      <c r="A541" s="40" t="s">
        <v>29</v>
      </c>
      <c r="B541" s="41">
        <v>142890.43</v>
      </c>
      <c r="C541" s="136">
        <f>B541/B542</f>
        <v>8.4192046116338765E-2</v>
      </c>
      <c r="D541" s="42">
        <v>89331.95</v>
      </c>
      <c r="E541" s="43">
        <f>D541/D542</f>
        <v>0.43772988524896694</v>
      </c>
      <c r="F541" s="44">
        <f>-11118.34+-4365.69</f>
        <v>-15484.029999999999</v>
      </c>
      <c r="G541" s="33">
        <f>B541+D541</f>
        <v>232222.38</v>
      </c>
      <c r="H541" s="45">
        <f>G541/G542</f>
        <v>0.12214025336947459</v>
      </c>
    </row>
    <row r="542" spans="1:8" ht="16.5" customHeight="1" thickBot="1" x14ac:dyDescent="0.25">
      <c r="A542" s="46" t="s">
        <v>24</v>
      </c>
      <c r="B542" s="47">
        <f>SUM(B537:B541)</f>
        <v>1697196.31</v>
      </c>
      <c r="C542" s="137">
        <f>B542/B542</f>
        <v>1</v>
      </c>
      <c r="D542" s="47">
        <f>SUM(D537:D541)</f>
        <v>204080.08000000002</v>
      </c>
      <c r="E542" s="48">
        <f>D542/D542</f>
        <v>1</v>
      </c>
      <c r="F542" s="49">
        <f>SUM(F537:F541)</f>
        <v>-55427.140000000007</v>
      </c>
      <c r="G542" s="47">
        <f>SUM(G537:G541)</f>
        <v>1901276.3900000001</v>
      </c>
      <c r="H542" s="50">
        <f>G542/G542</f>
        <v>1</v>
      </c>
    </row>
    <row r="543" spans="1:8" ht="16.5" customHeight="1" x14ac:dyDescent="0.2">
      <c r="A543" s="17"/>
      <c r="B543" s="51"/>
      <c r="C543" s="138"/>
      <c r="D543" s="51"/>
      <c r="E543" s="52"/>
      <c r="F543" s="53"/>
      <c r="G543" s="51"/>
      <c r="H543" s="52"/>
    </row>
    <row r="544" spans="1:8" ht="16.5" customHeight="1" x14ac:dyDescent="0.2"/>
    <row r="545" spans="1:8" ht="16.5" customHeight="1" thickBot="1" x14ac:dyDescent="0.25">
      <c r="A545" s="22" t="s">
        <v>32</v>
      </c>
    </row>
    <row r="546" spans="1:8" ht="16.5" customHeight="1" thickBot="1" x14ac:dyDescent="0.25">
      <c r="A546" s="23" t="s">
        <v>19</v>
      </c>
      <c r="B546" s="24" t="s">
        <v>20</v>
      </c>
      <c r="C546" s="133" t="s">
        <v>21</v>
      </c>
      <c r="D546" s="25" t="s">
        <v>22</v>
      </c>
      <c r="E546" s="26" t="s">
        <v>21</v>
      </c>
      <c r="F546" s="27" t="s">
        <v>23</v>
      </c>
      <c r="G546" s="25" t="s">
        <v>24</v>
      </c>
      <c r="H546" s="25" t="s">
        <v>21</v>
      </c>
    </row>
    <row r="547" spans="1:8" ht="16.5" customHeight="1" x14ac:dyDescent="0.2">
      <c r="A547" s="28" t="s">
        <v>25</v>
      </c>
      <c r="B547" s="29">
        <v>727769.29</v>
      </c>
      <c r="C547" s="134">
        <f>B547/B552</f>
        <v>0.55236764950209294</v>
      </c>
      <c r="D547" s="31">
        <v>-4374</v>
      </c>
      <c r="E547" s="30">
        <f>D547/D552</f>
        <v>-2.6335879034623248E-2</v>
      </c>
      <c r="F547" s="32">
        <f>-688.46+-18367.07</f>
        <v>-19055.53</v>
      </c>
      <c r="G547" s="33">
        <f>B547+D547</f>
        <v>723395.29</v>
      </c>
      <c r="H547" s="34">
        <f>G547/G552</f>
        <v>0.48758459915799374</v>
      </c>
    </row>
    <row r="548" spans="1:8" ht="16.5" customHeight="1" x14ac:dyDescent="0.2">
      <c r="A548" s="35" t="s">
        <v>26</v>
      </c>
      <c r="B548" s="36">
        <v>285593.62</v>
      </c>
      <c r="C548" s="135">
        <f>B548/B552</f>
        <v>0.21676193095780932</v>
      </c>
      <c r="D548" s="29">
        <v>41470.160000000003</v>
      </c>
      <c r="E548" s="37">
        <f>D548/D552</f>
        <v>0.2496920707147855</v>
      </c>
      <c r="F548" s="38">
        <f>-295.37+-9288.73</f>
        <v>-9584.1</v>
      </c>
      <c r="G548" s="33">
        <f>B548+D548</f>
        <v>327063.78000000003</v>
      </c>
      <c r="H548" s="39">
        <f>G548/G552</f>
        <v>0.22044830022379364</v>
      </c>
    </row>
    <row r="549" spans="1:8" ht="16.5" customHeight="1" x14ac:dyDescent="0.2">
      <c r="A549" s="35" t="s">
        <v>27</v>
      </c>
      <c r="B549" s="36">
        <v>129474.25</v>
      </c>
      <c r="C549" s="135">
        <f>B549/B552</f>
        <v>9.8269311615974284E-2</v>
      </c>
      <c r="D549" s="33">
        <v>33577.17</v>
      </c>
      <c r="E549" s="37">
        <f>D549/D552</f>
        <v>0.20216833274919538</v>
      </c>
      <c r="F549" s="38">
        <f>-693.4+-5722.22</f>
        <v>-6415.62</v>
      </c>
      <c r="G549" s="33">
        <f>B549+D549</f>
        <v>163051.41999999998</v>
      </c>
      <c r="H549" s="39">
        <f>G549/G552</f>
        <v>0.10990030258953121</v>
      </c>
    </row>
    <row r="550" spans="1:8" ht="16.5" customHeight="1" x14ac:dyDescent="0.2">
      <c r="A550" s="35" t="s">
        <v>28</v>
      </c>
      <c r="B550" s="36">
        <v>65842.820000000007</v>
      </c>
      <c r="C550" s="135">
        <f>B550/B552</f>
        <v>4.9973864272274252E-2</v>
      </c>
      <c r="D550" s="33">
        <v>28135.94</v>
      </c>
      <c r="E550" s="37">
        <f>D550/D552</f>
        <v>0.1694066557762729</v>
      </c>
      <c r="F550" s="38">
        <f>-288.15+-2051.9</f>
        <v>-2340.0500000000002</v>
      </c>
      <c r="G550" s="33">
        <f>B550+D550</f>
        <v>93978.760000000009</v>
      </c>
      <c r="H550" s="39">
        <f>G550/G552</f>
        <v>6.334378542050681E-2</v>
      </c>
    </row>
    <row r="551" spans="1:8" ht="16.5" customHeight="1" thickBot="1" x14ac:dyDescent="0.25">
      <c r="A551" s="40" t="s">
        <v>29</v>
      </c>
      <c r="B551" s="41">
        <v>108865.12</v>
      </c>
      <c r="C551" s="136">
        <f>B551/B552</f>
        <v>8.2627243651849175E-2</v>
      </c>
      <c r="D551" s="42">
        <v>67275.94</v>
      </c>
      <c r="E551" s="43">
        <f>D551/D552</f>
        <v>0.40506881979436937</v>
      </c>
      <c r="F551" s="44">
        <f>-11971.85+-5173.2</f>
        <v>-17145.05</v>
      </c>
      <c r="G551" s="33">
        <f>B551+D551</f>
        <v>176141.06</v>
      </c>
      <c r="H551" s="45">
        <f>G551/G552</f>
        <v>0.1187230126081746</v>
      </c>
    </row>
    <row r="552" spans="1:8" ht="16.5" customHeight="1" thickBot="1" x14ac:dyDescent="0.25">
      <c r="A552" s="46" t="s">
        <v>24</v>
      </c>
      <c r="B552" s="47">
        <f>SUM(B547:B551)</f>
        <v>1317545.1000000001</v>
      </c>
      <c r="C552" s="137">
        <f>B552/B552</f>
        <v>1</v>
      </c>
      <c r="D552" s="47">
        <f>SUM(D547:D551)</f>
        <v>166085.21000000002</v>
      </c>
      <c r="E552" s="48">
        <f>D552/D552</f>
        <v>1</v>
      </c>
      <c r="F552" s="49">
        <f>SUM(F547:F551)</f>
        <v>-54540.350000000006</v>
      </c>
      <c r="G552" s="47">
        <f>SUM(G547:G551)</f>
        <v>1483630.31</v>
      </c>
      <c r="H552" s="50">
        <f>G552/G552</f>
        <v>1</v>
      </c>
    </row>
    <row r="553" spans="1:8" ht="16.5" customHeight="1" x14ac:dyDescent="0.2">
      <c r="A553" s="17"/>
      <c r="B553" s="51"/>
      <c r="C553" s="138"/>
      <c r="D553" s="51"/>
      <c r="E553" s="52"/>
      <c r="F553" s="53"/>
      <c r="G553" s="51"/>
      <c r="H553" s="52"/>
    </row>
    <row r="554" spans="1:8" ht="16.5" customHeight="1" x14ac:dyDescent="0.2"/>
    <row r="555" spans="1:8" ht="16.5" customHeight="1" thickBot="1" x14ac:dyDescent="0.25">
      <c r="A555" s="22" t="s">
        <v>33</v>
      </c>
    </row>
    <row r="556" spans="1:8" ht="16.5" customHeight="1" thickBot="1" x14ac:dyDescent="0.25">
      <c r="A556" s="23" t="s">
        <v>19</v>
      </c>
      <c r="B556" s="24" t="s">
        <v>20</v>
      </c>
      <c r="C556" s="133" t="s">
        <v>21</v>
      </c>
      <c r="D556" s="25" t="s">
        <v>22</v>
      </c>
      <c r="E556" s="26" t="s">
        <v>21</v>
      </c>
      <c r="F556" s="27" t="s">
        <v>23</v>
      </c>
      <c r="G556" s="25" t="s">
        <v>24</v>
      </c>
      <c r="H556" s="25" t="s">
        <v>21</v>
      </c>
    </row>
    <row r="557" spans="1:8" ht="16.5" customHeight="1" x14ac:dyDescent="0.2">
      <c r="A557" s="28" t="s">
        <v>25</v>
      </c>
      <c r="B557" s="29">
        <v>554688.31999999995</v>
      </c>
      <c r="C557" s="134">
        <f>B557/B562</f>
        <v>0.57193768018491364</v>
      </c>
      <c r="D557" s="31">
        <v>2105.6</v>
      </c>
      <c r="E557" s="30">
        <f>D557/D562</f>
        <v>1.504951451807139E-2</v>
      </c>
      <c r="F557" s="32">
        <f>-187+-10498.69</f>
        <v>-10685.69</v>
      </c>
      <c r="G557" s="33">
        <f>B557+D557</f>
        <v>556793.91999999993</v>
      </c>
      <c r="H557" s="34">
        <f>G557/G562</f>
        <v>0.50172825102776564</v>
      </c>
    </row>
    <row r="558" spans="1:8" ht="16.5" customHeight="1" x14ac:dyDescent="0.2">
      <c r="A558" s="35" t="s">
        <v>26</v>
      </c>
      <c r="B558" s="36">
        <v>206355.49</v>
      </c>
      <c r="C558" s="135">
        <f>B558/B562</f>
        <v>0.21277260758622277</v>
      </c>
      <c r="D558" s="29">
        <v>34453.910000000003</v>
      </c>
      <c r="E558" s="37">
        <f>D558/D562</f>
        <v>0.24625504309903359</v>
      </c>
      <c r="F558" s="38">
        <f>-581.24+-6496.49</f>
        <v>-7077.73</v>
      </c>
      <c r="G558" s="33">
        <f>B558+D558</f>
        <v>240809.4</v>
      </c>
      <c r="H558" s="39">
        <f>G558/G562</f>
        <v>0.21699389083315715</v>
      </c>
    </row>
    <row r="559" spans="1:8" ht="16.5" customHeight="1" x14ac:dyDescent="0.2">
      <c r="A559" s="35" t="s">
        <v>27</v>
      </c>
      <c r="B559" s="36">
        <v>88325.87</v>
      </c>
      <c r="C559" s="135">
        <f>B559/B562</f>
        <v>9.1072574212693463E-2</v>
      </c>
      <c r="D559" s="33">
        <v>27632.14</v>
      </c>
      <c r="E559" s="37">
        <f>D559/D562</f>
        <v>0.19749728917903742</v>
      </c>
      <c r="F559" s="38">
        <f>-841.33+-5194.94</f>
        <v>-6036.2699999999995</v>
      </c>
      <c r="G559" s="33">
        <f>B559+D559</f>
        <v>115958.01</v>
      </c>
      <c r="H559" s="39">
        <f>G559/G562</f>
        <v>0.10449002307704826</v>
      </c>
    </row>
    <row r="560" spans="1:8" ht="16.5" customHeight="1" x14ac:dyDescent="0.2">
      <c r="A560" s="35" t="s">
        <v>28</v>
      </c>
      <c r="B560" s="36">
        <v>45806.31</v>
      </c>
      <c r="C560" s="135">
        <f>B560/B562</f>
        <v>4.7230766783102653E-2</v>
      </c>
      <c r="D560" s="33">
        <v>19779.72</v>
      </c>
      <c r="E560" s="37">
        <f>D560/D562</f>
        <v>0.14137309237432896</v>
      </c>
      <c r="F560" s="38">
        <f>-972.79+-2747.19</f>
        <v>-3719.98</v>
      </c>
      <c r="G560" s="33">
        <f>B560+D560</f>
        <v>65586.03</v>
      </c>
      <c r="H560" s="39">
        <f>G560/G562</f>
        <v>5.9099718839879883E-2</v>
      </c>
    </row>
    <row r="561" spans="1:8" ht="16.5" customHeight="1" thickBot="1" x14ac:dyDescent="0.25">
      <c r="A561" s="40" t="s">
        <v>29</v>
      </c>
      <c r="B561" s="41">
        <v>74664.5</v>
      </c>
      <c r="C561" s="136">
        <f>B561/B562</f>
        <v>7.698637123306741E-2</v>
      </c>
      <c r="D561" s="42">
        <v>55940.12</v>
      </c>
      <c r="E561" s="43">
        <f>D561/D562</f>
        <v>0.39982506082952879</v>
      </c>
      <c r="F561" s="44">
        <f>-17614.08+-5029.61</f>
        <v>-22643.690000000002</v>
      </c>
      <c r="G561" s="33">
        <f>B561+D561</f>
        <v>130604.62</v>
      </c>
      <c r="H561" s="45">
        <f>G561/G562</f>
        <v>0.11768811622214902</v>
      </c>
    </row>
    <row r="562" spans="1:8" ht="16.5" customHeight="1" thickBot="1" x14ac:dyDescent="0.25">
      <c r="A562" s="46" t="s">
        <v>24</v>
      </c>
      <c r="B562" s="47">
        <f>SUM(B557:B561)</f>
        <v>969840.49</v>
      </c>
      <c r="C562" s="137">
        <f>B562/B562</f>
        <v>1</v>
      </c>
      <c r="D562" s="47">
        <f>SUM(D557:D561)</f>
        <v>139911.49</v>
      </c>
      <c r="E562" s="48">
        <f>D562/D562</f>
        <v>1</v>
      </c>
      <c r="F562" s="49">
        <f>SUM(F557:F561)</f>
        <v>-50163.360000000001</v>
      </c>
      <c r="G562" s="47">
        <f>SUM(G557:G561)</f>
        <v>1109751.98</v>
      </c>
      <c r="H562" s="50">
        <f>G562/G562</f>
        <v>1</v>
      </c>
    </row>
    <row r="563" spans="1:8" ht="16.5" customHeight="1" x14ac:dyDescent="0.2">
      <c r="A563" s="17"/>
      <c r="B563" s="51"/>
      <c r="C563" s="138"/>
      <c r="D563" s="51"/>
      <c r="E563" s="52"/>
      <c r="F563" s="53"/>
      <c r="G563" s="51"/>
      <c r="H563" s="52"/>
    </row>
    <row r="564" spans="1:8" ht="16.5" customHeight="1" x14ac:dyDescent="0.2"/>
    <row r="565" spans="1:8" ht="16.5" customHeight="1" thickBot="1" x14ac:dyDescent="0.25">
      <c r="A565" s="22" t="s">
        <v>34</v>
      </c>
    </row>
    <row r="566" spans="1:8" ht="16.5" customHeight="1" thickBot="1" x14ac:dyDescent="0.25">
      <c r="A566" s="23" t="s">
        <v>19</v>
      </c>
      <c r="B566" s="24" t="s">
        <v>20</v>
      </c>
      <c r="C566" s="133" t="s">
        <v>21</v>
      </c>
      <c r="D566" s="25" t="s">
        <v>22</v>
      </c>
      <c r="E566" s="26" t="s">
        <v>21</v>
      </c>
      <c r="F566" s="27" t="s">
        <v>23</v>
      </c>
      <c r="G566" s="25" t="s">
        <v>24</v>
      </c>
      <c r="H566" s="25" t="s">
        <v>21</v>
      </c>
    </row>
    <row r="567" spans="1:8" ht="16.5" customHeight="1" x14ac:dyDescent="0.2">
      <c r="A567" s="28" t="s">
        <v>25</v>
      </c>
      <c r="B567" s="29">
        <v>480721.83</v>
      </c>
      <c r="C567" s="134">
        <f>B567/B572</f>
        <v>0.62484344528567082</v>
      </c>
      <c r="D567" s="31">
        <v>80.27</v>
      </c>
      <c r="E567" s="30">
        <f>D567/D572</f>
        <v>6.6767978985595854E-4</v>
      </c>
      <c r="F567" s="32">
        <f>-402.24+-10671.73</f>
        <v>-11073.97</v>
      </c>
      <c r="G567" s="33">
        <f>B567+D567</f>
        <v>480802.10000000003</v>
      </c>
      <c r="H567" s="34">
        <f>G567/G572</f>
        <v>0.54048824986150057</v>
      </c>
    </row>
    <row r="568" spans="1:8" ht="16.5" customHeight="1" x14ac:dyDescent="0.2">
      <c r="A568" s="35" t="s">
        <v>26</v>
      </c>
      <c r="B568" s="36">
        <v>145770.16</v>
      </c>
      <c r="C568" s="135">
        <f>B568/B572</f>
        <v>0.18947242107612106</v>
      </c>
      <c r="D568" s="29">
        <v>31127.77</v>
      </c>
      <c r="E568" s="37">
        <f>D568/D572</f>
        <v>0.25891843692892252</v>
      </c>
      <c r="F568" s="38">
        <f>-324.14+-9060.76</f>
        <v>-9384.9</v>
      </c>
      <c r="G568" s="33">
        <f>B568+D568</f>
        <v>176897.93</v>
      </c>
      <c r="H568" s="39">
        <f>G568/G572</f>
        <v>0.19885780987608462</v>
      </c>
    </row>
    <row r="569" spans="1:8" ht="16.5" customHeight="1" x14ac:dyDescent="0.2">
      <c r="A569" s="35" t="s">
        <v>27</v>
      </c>
      <c r="B569" s="36">
        <v>58335.71</v>
      </c>
      <c r="C569" s="135">
        <f>B569/B572</f>
        <v>7.5824902770872213E-2</v>
      </c>
      <c r="D569" s="33">
        <v>22560.240000000002</v>
      </c>
      <c r="E569" s="37">
        <f>D569/D572</f>
        <v>0.18765437027905807</v>
      </c>
      <c r="F569" s="38">
        <f>-716.01+-5667.08</f>
        <v>-6383.09</v>
      </c>
      <c r="G569" s="33">
        <f>B569+D569</f>
        <v>80895.95</v>
      </c>
      <c r="H569" s="39">
        <f>G569/G572</f>
        <v>9.0938268440140871E-2</v>
      </c>
    </row>
    <row r="570" spans="1:8" ht="16.5" customHeight="1" x14ac:dyDescent="0.2">
      <c r="A570" s="35" t="s">
        <v>28</v>
      </c>
      <c r="B570" s="36">
        <v>40468.78</v>
      </c>
      <c r="C570" s="135">
        <f>B570/B572</f>
        <v>5.2601422160728273E-2</v>
      </c>
      <c r="D570" s="33">
        <v>16348.96</v>
      </c>
      <c r="E570" s="37">
        <f>D570/D572</f>
        <v>0.13598941294585115</v>
      </c>
      <c r="F570" s="38">
        <f>-1273.13+-1356.63</f>
        <v>-2629.76</v>
      </c>
      <c r="G570" s="33">
        <f>B570+D570</f>
        <v>56817.74</v>
      </c>
      <c r="H570" s="39">
        <f>G570/G572</f>
        <v>6.3871020641727172E-2</v>
      </c>
    </row>
    <row r="571" spans="1:8" ht="16.5" customHeight="1" thickBot="1" x14ac:dyDescent="0.25">
      <c r="A571" s="40" t="s">
        <v>29</v>
      </c>
      <c r="B571" s="41">
        <v>44051.16</v>
      </c>
      <c r="C571" s="136">
        <f>B571/B572</f>
        <v>5.7257808706607592E-2</v>
      </c>
      <c r="D571" s="42">
        <v>50105.06</v>
      </c>
      <c r="E571" s="43">
        <f>D571/D572</f>
        <v>0.41677010005631238</v>
      </c>
      <c r="F571" s="44">
        <f>-19636.27+-3687.03</f>
        <v>-23323.3</v>
      </c>
      <c r="G571" s="33">
        <f>B571+D571</f>
        <v>94156.22</v>
      </c>
      <c r="H571" s="45">
        <f>G571/G572</f>
        <v>0.10584465118054687</v>
      </c>
    </row>
    <row r="572" spans="1:8" ht="16.5" customHeight="1" thickBot="1" x14ac:dyDescent="0.25">
      <c r="A572" s="46" t="s">
        <v>24</v>
      </c>
      <c r="B572" s="47">
        <f>SUM(B567:B571)</f>
        <v>769347.64</v>
      </c>
      <c r="C572" s="137">
        <f>B572/B572</f>
        <v>1</v>
      </c>
      <c r="D572" s="47">
        <f>SUM(D567:D571)</f>
        <v>120222.29999999999</v>
      </c>
      <c r="E572" s="48">
        <f>D572/D572</f>
        <v>1</v>
      </c>
      <c r="F572" s="49">
        <f>SUM(F567:F571)</f>
        <v>-52795.020000000004</v>
      </c>
      <c r="G572" s="47">
        <f>SUM(G567:G571)</f>
        <v>889569.94</v>
      </c>
      <c r="H572" s="50">
        <f>G572/G572</f>
        <v>1</v>
      </c>
    </row>
    <row r="573" spans="1:8" ht="16.5" customHeight="1" x14ac:dyDescent="0.2">
      <c r="A573" s="17"/>
      <c r="B573" s="51"/>
      <c r="C573" s="138"/>
      <c r="D573" s="51"/>
      <c r="E573" s="52"/>
      <c r="F573" s="53"/>
      <c r="G573" s="51"/>
      <c r="H573" s="52"/>
    </row>
    <row r="574" spans="1:8" ht="16.5" customHeight="1" x14ac:dyDescent="0.2"/>
    <row r="575" spans="1:8" ht="16.5" customHeight="1" thickBot="1" x14ac:dyDescent="0.25">
      <c r="A575" s="22" t="s">
        <v>35</v>
      </c>
    </row>
    <row r="576" spans="1:8" ht="16.5" customHeight="1" thickBot="1" x14ac:dyDescent="0.25">
      <c r="A576" s="23" t="s">
        <v>19</v>
      </c>
      <c r="B576" s="24" t="s">
        <v>20</v>
      </c>
      <c r="C576" s="133" t="s">
        <v>21</v>
      </c>
      <c r="D576" s="25" t="s">
        <v>22</v>
      </c>
      <c r="E576" s="26" t="s">
        <v>21</v>
      </c>
      <c r="F576" s="27" t="s">
        <v>23</v>
      </c>
      <c r="G576" s="25" t="s">
        <v>24</v>
      </c>
      <c r="H576" s="25" t="s">
        <v>21</v>
      </c>
    </row>
    <row r="577" spans="1:8" ht="16.5" customHeight="1" x14ac:dyDescent="0.2">
      <c r="A577" s="28" t="s">
        <v>25</v>
      </c>
      <c r="B577" s="29">
        <v>320773</v>
      </c>
      <c r="C577" s="134">
        <f>B577/B582</f>
        <v>0.5477379362219208</v>
      </c>
      <c r="D577" s="31">
        <v>2818.72</v>
      </c>
      <c r="E577" s="30">
        <f>D577/D582</f>
        <v>2.4752929109491003E-2</v>
      </c>
      <c r="F577" s="54">
        <f>-8582.31+-262</f>
        <v>-8844.31</v>
      </c>
      <c r="G577" s="33">
        <f>B577+D577</f>
        <v>323591.71999999997</v>
      </c>
      <c r="H577" s="34">
        <f>G577/G582</f>
        <v>0.46260005179366109</v>
      </c>
    </row>
    <row r="578" spans="1:8" ht="16.5" customHeight="1" x14ac:dyDescent="0.2">
      <c r="A578" s="35" t="s">
        <v>26</v>
      </c>
      <c r="B578" s="36">
        <v>120003.98</v>
      </c>
      <c r="C578" s="135">
        <f>B578/B582</f>
        <v>0.20491354429336839</v>
      </c>
      <c r="D578" s="29">
        <v>27520.86</v>
      </c>
      <c r="E578" s="37">
        <f>D578/D582</f>
        <v>0.24167774614442961</v>
      </c>
      <c r="F578" s="55">
        <f>-5198.6+-307.47</f>
        <v>-5506.0700000000006</v>
      </c>
      <c r="G578" s="33">
        <f>B578+D578</f>
        <v>147524.84</v>
      </c>
      <c r="H578" s="39">
        <f>G578/G582</f>
        <v>0.21089846991403727</v>
      </c>
    </row>
    <row r="579" spans="1:8" ht="16.5" customHeight="1" x14ac:dyDescent="0.2">
      <c r="A579" s="35" t="s">
        <v>27</v>
      </c>
      <c r="B579" s="36">
        <v>53336.81</v>
      </c>
      <c r="C579" s="135">
        <f>B579/B582</f>
        <v>9.1075602479200893E-2</v>
      </c>
      <c r="D579" s="33">
        <v>19296.560000000001</v>
      </c>
      <c r="E579" s="37">
        <f>D579/D582</f>
        <v>0.16945506532647434</v>
      </c>
      <c r="F579" s="55">
        <f>-1154.27-523.19</f>
        <v>-1677.46</v>
      </c>
      <c r="G579" s="33">
        <f>B579+D579</f>
        <v>72633.37</v>
      </c>
      <c r="H579" s="39">
        <f>G579/G582</f>
        <v>0.10383516835334398</v>
      </c>
    </row>
    <row r="580" spans="1:8" ht="16.5" customHeight="1" x14ac:dyDescent="0.2">
      <c r="A580" s="35" t="s">
        <v>28</v>
      </c>
      <c r="B580" s="36">
        <v>34247.47</v>
      </c>
      <c r="C580" s="135">
        <f>B580/B582</f>
        <v>5.8479480937055635E-2</v>
      </c>
      <c r="D580" s="33">
        <v>16219.82</v>
      </c>
      <c r="E580" s="37">
        <f>D580/D582</f>
        <v>0.14243630251628553</v>
      </c>
      <c r="F580" s="55">
        <f>-795.05+-1156.68</f>
        <v>-1951.73</v>
      </c>
      <c r="G580" s="33">
        <f>B580+D580</f>
        <v>50467.29</v>
      </c>
      <c r="H580" s="39">
        <f>G580/G582</f>
        <v>7.2146997357922862E-2</v>
      </c>
    </row>
    <row r="581" spans="1:8" ht="16.5" customHeight="1" thickBot="1" x14ac:dyDescent="0.25">
      <c r="A581" s="40" t="s">
        <v>29</v>
      </c>
      <c r="B581" s="41">
        <v>57270.99</v>
      </c>
      <c r="C581" s="136">
        <f>B581/B582</f>
        <v>9.7793436068454212E-2</v>
      </c>
      <c r="D581" s="42">
        <v>48018.239999999998</v>
      </c>
      <c r="E581" s="43">
        <f>D581/D582</f>
        <v>0.42167795690331966</v>
      </c>
      <c r="F581" s="56">
        <f>-2329.71+-20083.72</f>
        <v>-22413.43</v>
      </c>
      <c r="G581" s="33">
        <f>B581+D581</f>
        <v>105289.23</v>
      </c>
      <c r="H581" s="45">
        <f>G581/G582</f>
        <v>0.15051931258103482</v>
      </c>
    </row>
    <row r="582" spans="1:8" ht="16.5" customHeight="1" thickBot="1" x14ac:dyDescent="0.25">
      <c r="A582" s="46" t="s">
        <v>24</v>
      </c>
      <c r="B582" s="47">
        <f>SUM(B577:B581)</f>
        <v>585632.25</v>
      </c>
      <c r="C582" s="137">
        <f>B582/B582</f>
        <v>1</v>
      </c>
      <c r="D582" s="47">
        <f>SUM(D577:D581)</f>
        <v>113874.19999999998</v>
      </c>
      <c r="E582" s="48">
        <f>D582/D582</f>
        <v>1</v>
      </c>
      <c r="F582" s="49">
        <f>SUM(F577:F581)</f>
        <v>-40393</v>
      </c>
      <c r="G582" s="47">
        <f>SUM(G577:G581)</f>
        <v>699506.45</v>
      </c>
      <c r="H582" s="50">
        <f>G582/G582</f>
        <v>1</v>
      </c>
    </row>
    <row r="583" spans="1:8" ht="16.5" customHeight="1" x14ac:dyDescent="0.2">
      <c r="A583" s="17"/>
      <c r="B583" s="51"/>
      <c r="C583" s="138"/>
      <c r="D583" s="51"/>
      <c r="E583" s="52"/>
      <c r="F583" s="53"/>
      <c r="G583" s="51"/>
      <c r="H583" s="52"/>
    </row>
    <row r="584" spans="1:8" ht="16.5" customHeight="1" x14ac:dyDescent="0.2"/>
    <row r="585" spans="1:8" ht="16.5" customHeight="1" thickBot="1" x14ac:dyDescent="0.25">
      <c r="A585" s="22" t="s">
        <v>36</v>
      </c>
    </row>
    <row r="586" spans="1:8" ht="16.5" customHeight="1" thickBot="1" x14ac:dyDescent="0.25">
      <c r="A586" s="23" t="s">
        <v>19</v>
      </c>
      <c r="B586" s="24" t="s">
        <v>20</v>
      </c>
      <c r="C586" s="133" t="s">
        <v>21</v>
      </c>
      <c r="D586" s="25" t="s">
        <v>22</v>
      </c>
      <c r="E586" s="26" t="s">
        <v>21</v>
      </c>
      <c r="F586" s="27" t="s">
        <v>23</v>
      </c>
      <c r="G586" s="25" t="s">
        <v>24</v>
      </c>
      <c r="H586" s="25" t="s">
        <v>21</v>
      </c>
    </row>
    <row r="587" spans="1:8" ht="16.5" customHeight="1" x14ac:dyDescent="0.2">
      <c r="A587" s="28" t="s">
        <v>25</v>
      </c>
      <c r="B587" s="29">
        <v>269269.71000000002</v>
      </c>
      <c r="C587" s="134">
        <f>B587/B592</f>
        <v>0.55997084829425714</v>
      </c>
      <c r="D587" s="31">
        <v>6629.93</v>
      </c>
      <c r="E587" s="30">
        <f>D587/D592</f>
        <v>6.4258258509148083E-2</v>
      </c>
      <c r="F587" s="54">
        <f>-79.56+-1236.22</f>
        <v>-1315.78</v>
      </c>
      <c r="G587" s="33">
        <f>B587+D587</f>
        <v>275899.64</v>
      </c>
      <c r="H587" s="34">
        <f>G587/G592</f>
        <v>0.47239844537389741</v>
      </c>
    </row>
    <row r="588" spans="1:8" ht="16.5" customHeight="1" x14ac:dyDescent="0.2">
      <c r="A588" s="35" t="s">
        <v>26</v>
      </c>
      <c r="B588" s="36">
        <v>86813.77</v>
      </c>
      <c r="C588" s="135">
        <f>B588/B592</f>
        <v>0.18053712922453302</v>
      </c>
      <c r="D588" s="29">
        <v>24239.32</v>
      </c>
      <c r="E588" s="37">
        <f>D588/D592</f>
        <v>0.23493106120969048</v>
      </c>
      <c r="F588" s="55">
        <f>-900.06+-4154.99</f>
        <v>-5055.0499999999993</v>
      </c>
      <c r="G588" s="33">
        <f>B588+D588</f>
        <v>111053.09</v>
      </c>
      <c r="H588" s="39">
        <f>G588/G592</f>
        <v>0.1901463411476996</v>
      </c>
    </row>
    <row r="589" spans="1:8" ht="16.5" customHeight="1" x14ac:dyDescent="0.2">
      <c r="A589" s="35" t="s">
        <v>27</v>
      </c>
      <c r="B589" s="36">
        <v>41078.11</v>
      </c>
      <c r="C589" s="135">
        <f>B589/B592</f>
        <v>8.5425665229946601E-2</v>
      </c>
      <c r="D589" s="33">
        <v>20177.28</v>
      </c>
      <c r="E589" s="37">
        <f>D589/D592</f>
        <v>0.19556117097035161</v>
      </c>
      <c r="F589" s="55">
        <f>-824.1+-2275.95</f>
        <v>-3100.0499999999997</v>
      </c>
      <c r="G589" s="33">
        <f>B589+D589</f>
        <v>61255.39</v>
      </c>
      <c r="H589" s="39">
        <f>G589/G592</f>
        <v>0.10488216297336155</v>
      </c>
    </row>
    <row r="590" spans="1:8" ht="16.5" customHeight="1" x14ac:dyDescent="0.2">
      <c r="A590" s="35" t="s">
        <v>28</v>
      </c>
      <c r="B590" s="36">
        <v>29961.25</v>
      </c>
      <c r="C590" s="135">
        <f>B590/B592</f>
        <v>6.2307143935559292E-2</v>
      </c>
      <c r="D590" s="33">
        <v>18108.509999999998</v>
      </c>
      <c r="E590" s="37">
        <f>D590/D592</f>
        <v>0.17551034728805479</v>
      </c>
      <c r="F590" s="55">
        <f>-672.91+-1461.34</f>
        <v>-2134.25</v>
      </c>
      <c r="G590" s="33">
        <f>B590+D590</f>
        <v>48069.759999999995</v>
      </c>
      <c r="H590" s="39">
        <f>G590/G592</f>
        <v>8.2305580005455445E-2</v>
      </c>
    </row>
    <row r="591" spans="1:8" ht="16.5" customHeight="1" thickBot="1" x14ac:dyDescent="0.25">
      <c r="A591" s="40" t="s">
        <v>29</v>
      </c>
      <c r="B591" s="41">
        <v>53740.959999999999</v>
      </c>
      <c r="C591" s="136">
        <f>B591/B592</f>
        <v>0.11175921331570393</v>
      </c>
      <c r="D591" s="42">
        <v>34021.269999999997</v>
      </c>
      <c r="E591" s="43">
        <f>D591/D592</f>
        <v>0.32973916202275499</v>
      </c>
      <c r="F591" s="56">
        <f>-6365.25+-2101.46</f>
        <v>-8466.7099999999991</v>
      </c>
      <c r="G591" s="33">
        <f>B591+D591</f>
        <v>87762.23</v>
      </c>
      <c r="H591" s="45">
        <f>G591/G592</f>
        <v>0.15026747049958605</v>
      </c>
    </row>
    <row r="592" spans="1:8" ht="16.5" customHeight="1" thickBot="1" x14ac:dyDescent="0.25">
      <c r="A592" s="46" t="s">
        <v>24</v>
      </c>
      <c r="B592" s="47">
        <f>SUM(B587:B591)</f>
        <v>480863.80000000005</v>
      </c>
      <c r="C592" s="137">
        <f>B592/B592</f>
        <v>1</v>
      </c>
      <c r="D592" s="47">
        <f>SUM(D587:D591)</f>
        <v>103176.31</v>
      </c>
      <c r="E592" s="48">
        <f>D592/D592</f>
        <v>1</v>
      </c>
      <c r="F592" s="49">
        <f>SUM(F587:F591)</f>
        <v>-20071.839999999997</v>
      </c>
      <c r="G592" s="47">
        <f>SUM(G587:G591)</f>
        <v>584040.11</v>
      </c>
      <c r="H592" s="50">
        <f>G592/G592</f>
        <v>1</v>
      </c>
    </row>
    <row r="593" spans="1:8" ht="16.5" customHeight="1" x14ac:dyDescent="0.2">
      <c r="A593" s="17"/>
      <c r="B593" s="51"/>
      <c r="C593" s="138"/>
      <c r="D593" s="51"/>
      <c r="E593" s="52"/>
      <c r="F593" s="53"/>
      <c r="G593" s="51"/>
      <c r="H593" s="52"/>
    </row>
    <row r="594" spans="1:8" ht="16.5" customHeight="1" x14ac:dyDescent="0.2"/>
    <row r="595" spans="1:8" ht="16.5" customHeight="1" thickBot="1" x14ac:dyDescent="0.25">
      <c r="A595" s="22" t="s">
        <v>37</v>
      </c>
    </row>
    <row r="596" spans="1:8" ht="16.5" customHeight="1" thickBot="1" x14ac:dyDescent="0.25">
      <c r="A596" s="23" t="s">
        <v>19</v>
      </c>
      <c r="B596" s="24" t="s">
        <v>20</v>
      </c>
      <c r="C596" s="133" t="s">
        <v>21</v>
      </c>
      <c r="D596" s="25" t="s">
        <v>22</v>
      </c>
      <c r="E596" s="26" t="s">
        <v>21</v>
      </c>
      <c r="F596" s="27" t="s">
        <v>23</v>
      </c>
      <c r="G596" s="25" t="s">
        <v>24</v>
      </c>
      <c r="H596" s="25" t="s">
        <v>21</v>
      </c>
    </row>
    <row r="597" spans="1:8" ht="16.5" customHeight="1" x14ac:dyDescent="0.2">
      <c r="A597" s="28" t="s">
        <v>25</v>
      </c>
      <c r="B597" s="29">
        <v>191094.13</v>
      </c>
      <c r="C597" s="134">
        <f>B597/B602</f>
        <v>0.50654417658158168</v>
      </c>
      <c r="D597" s="31">
        <v>8387.7000000000007</v>
      </c>
      <c r="E597" s="30">
        <f>D597/D602</f>
        <v>9.2970026402303715E-2</v>
      </c>
      <c r="F597" s="54">
        <f>-183.66+-2587.07</f>
        <v>-2770.73</v>
      </c>
      <c r="G597" s="33">
        <f>B597+D597</f>
        <v>199481.83000000002</v>
      </c>
      <c r="H597" s="34">
        <f>G597/G602</f>
        <v>0.42672642122307425</v>
      </c>
    </row>
    <row r="598" spans="1:8" ht="16.5" customHeight="1" x14ac:dyDescent="0.2">
      <c r="A598" s="35" t="s">
        <v>26</v>
      </c>
      <c r="B598" s="36">
        <v>73108.33</v>
      </c>
      <c r="C598" s="135">
        <f>B598/B602</f>
        <v>0.19379244574966559</v>
      </c>
      <c r="D598" s="29">
        <v>26004.41</v>
      </c>
      <c r="E598" s="37">
        <f>D598/D602</f>
        <v>0.28823523543716761</v>
      </c>
      <c r="F598" s="55">
        <f>-561.3+-5443.9</f>
        <v>-6005.2</v>
      </c>
      <c r="G598" s="33">
        <f>B598+D598</f>
        <v>99112.74</v>
      </c>
      <c r="H598" s="39">
        <f>G598/G602</f>
        <v>0.2120194347415654</v>
      </c>
    </row>
    <row r="599" spans="1:8" ht="16.5" customHeight="1" x14ac:dyDescent="0.2">
      <c r="A599" s="35" t="s">
        <v>27</v>
      </c>
      <c r="B599" s="36">
        <v>45785.75</v>
      </c>
      <c r="C599" s="135">
        <f>B599/B602</f>
        <v>0.12136691500110522</v>
      </c>
      <c r="D599" s="33">
        <v>18748.580000000002</v>
      </c>
      <c r="E599" s="37">
        <f>D599/D602</f>
        <v>0.20781095861865631</v>
      </c>
      <c r="F599" s="55">
        <f>-410.05+-4861.22</f>
        <v>-5271.27</v>
      </c>
      <c r="G599" s="33">
        <f>B599+D599</f>
        <v>64534.33</v>
      </c>
      <c r="H599" s="39">
        <f>G599/G602</f>
        <v>0.13805018575841657</v>
      </c>
    </row>
    <row r="600" spans="1:8" ht="16.5" customHeight="1" x14ac:dyDescent="0.2">
      <c r="A600" s="35" t="s">
        <v>28</v>
      </c>
      <c r="B600" s="36">
        <v>25832.27</v>
      </c>
      <c r="C600" s="135">
        <f>B600/B602</f>
        <v>6.8475080508140648E-2</v>
      </c>
      <c r="D600" s="33">
        <v>15669.35</v>
      </c>
      <c r="E600" s="37">
        <f>D600/D602</f>
        <v>0.17368049443911177</v>
      </c>
      <c r="F600" s="55">
        <f>-852.11+-3242.17</f>
        <v>-4094.28</v>
      </c>
      <c r="G600" s="33">
        <f>B600+D600</f>
        <v>41501.620000000003</v>
      </c>
      <c r="H600" s="39">
        <f>G600/G602</f>
        <v>8.8779202484556924E-2</v>
      </c>
    </row>
    <row r="601" spans="1:8" ht="16.5" customHeight="1" thickBot="1" x14ac:dyDescent="0.25">
      <c r="A601" s="40" t="s">
        <v>29</v>
      </c>
      <c r="B601" s="41">
        <v>41430.19</v>
      </c>
      <c r="C601" s="136">
        <f>B601/B602</f>
        <v>0.10982138215950683</v>
      </c>
      <c r="D601" s="42">
        <v>21409.360000000001</v>
      </c>
      <c r="E601" s="43">
        <f>D601/D602</f>
        <v>0.23730328510276058</v>
      </c>
      <c r="F601" s="56">
        <f>-4803.48+-2251.1</f>
        <v>-7054.58</v>
      </c>
      <c r="G601" s="33">
        <f>B601+D601</f>
        <v>62839.55</v>
      </c>
      <c r="H601" s="45">
        <f>G601/G602</f>
        <v>0.13442475579238689</v>
      </c>
    </row>
    <row r="602" spans="1:8" ht="16.5" customHeight="1" thickBot="1" x14ac:dyDescent="0.25">
      <c r="A602" s="46" t="s">
        <v>24</v>
      </c>
      <c r="B602" s="47">
        <f>SUM(B597:B601)</f>
        <v>377250.67000000004</v>
      </c>
      <c r="C602" s="137">
        <f>B602/B602</f>
        <v>1</v>
      </c>
      <c r="D602" s="47">
        <f>SUM(D597:D601)</f>
        <v>90219.400000000009</v>
      </c>
      <c r="E602" s="48">
        <f>D602/D602</f>
        <v>1</v>
      </c>
      <c r="F602" s="49">
        <f>SUM(F597:F601)</f>
        <v>-25196.059999999998</v>
      </c>
      <c r="G602" s="47">
        <f>SUM(G597:G601)</f>
        <v>467470.07</v>
      </c>
      <c r="H602" s="50">
        <f>G602/G602</f>
        <v>1</v>
      </c>
    </row>
    <row r="603" spans="1:8" ht="16.5" customHeight="1" x14ac:dyDescent="0.2">
      <c r="A603" s="17"/>
      <c r="B603" s="51"/>
      <c r="C603" s="138"/>
      <c r="D603" s="51"/>
      <c r="E603" s="52"/>
      <c r="F603" s="53"/>
      <c r="G603" s="51"/>
      <c r="H603" s="52"/>
    </row>
    <row r="604" spans="1:8" ht="16.5" customHeight="1" x14ac:dyDescent="0.2"/>
    <row r="605" spans="1:8" ht="16.5" customHeight="1" thickBot="1" x14ac:dyDescent="0.25">
      <c r="A605" s="22" t="s">
        <v>38</v>
      </c>
    </row>
    <row r="606" spans="1:8" ht="16.5" customHeight="1" thickBot="1" x14ac:dyDescent="0.25">
      <c r="A606" s="23" t="s">
        <v>19</v>
      </c>
      <c r="B606" s="24" t="s">
        <v>20</v>
      </c>
      <c r="C606" s="133" t="s">
        <v>21</v>
      </c>
      <c r="D606" s="25" t="s">
        <v>22</v>
      </c>
      <c r="E606" s="26" t="s">
        <v>21</v>
      </c>
      <c r="F606" s="27" t="s">
        <v>23</v>
      </c>
      <c r="G606" s="25" t="s">
        <v>24</v>
      </c>
      <c r="H606" s="25" t="s">
        <v>21</v>
      </c>
    </row>
    <row r="607" spans="1:8" ht="16.5" customHeight="1" x14ac:dyDescent="0.2">
      <c r="A607" s="28" t="s">
        <v>25</v>
      </c>
      <c r="B607" s="29">
        <v>241641.95</v>
      </c>
      <c r="C607" s="134">
        <f>B607/B612</f>
        <v>0.54054941290664726</v>
      </c>
      <c r="D607" s="31">
        <v>5067.45</v>
      </c>
      <c r="E607" s="30">
        <f>D607/D612</f>
        <v>7.8993887753527295E-2</v>
      </c>
      <c r="F607" s="54">
        <f>-2589.88+-145</f>
        <v>-2734.88</v>
      </c>
      <c r="G607" s="33">
        <f>B607+D607</f>
        <v>246709.40000000002</v>
      </c>
      <c r="H607" s="34">
        <f>G607/G612</f>
        <v>0.48262709408309012</v>
      </c>
    </row>
    <row r="608" spans="1:8" ht="16.5" customHeight="1" x14ac:dyDescent="0.2">
      <c r="A608" s="35" t="s">
        <v>26</v>
      </c>
      <c r="B608" s="36">
        <v>110892.73</v>
      </c>
      <c r="C608" s="135">
        <f>B608/B612</f>
        <v>0.24806537150157637</v>
      </c>
      <c r="D608" s="29">
        <v>21730.67</v>
      </c>
      <c r="E608" s="37">
        <f>D608/D612</f>
        <v>0.33874830670040018</v>
      </c>
      <c r="F608" s="55">
        <f>-3881.73+-111.9</f>
        <v>-3993.63</v>
      </c>
      <c r="G608" s="33">
        <f>B608+D608</f>
        <v>132623.4</v>
      </c>
      <c r="H608" s="39">
        <f>G608/G612</f>
        <v>0.25944551018088197</v>
      </c>
    </row>
    <row r="609" spans="1:8" ht="16.5" customHeight="1" x14ac:dyDescent="0.2">
      <c r="A609" s="35" t="s">
        <v>27</v>
      </c>
      <c r="B609" s="36">
        <v>45405.19</v>
      </c>
      <c r="C609" s="135">
        <f>B609/B612</f>
        <v>0.10157072808514735</v>
      </c>
      <c r="D609" s="33">
        <v>16681.580000000002</v>
      </c>
      <c r="E609" s="37">
        <f>D609/D612</f>
        <v>0.26004062360190744</v>
      </c>
      <c r="F609" s="55">
        <f>-4462.95+-748.22</f>
        <v>-5211.17</v>
      </c>
      <c r="G609" s="33">
        <f>B609+D609</f>
        <v>62086.770000000004</v>
      </c>
      <c r="H609" s="39">
        <f>G609/G612</f>
        <v>0.12145770443325296</v>
      </c>
    </row>
    <row r="610" spans="1:8" ht="16.5" customHeight="1" x14ac:dyDescent="0.2">
      <c r="A610" s="35" t="s">
        <v>28</v>
      </c>
      <c r="B610" s="36">
        <v>21156.78</v>
      </c>
      <c r="C610" s="135">
        <f>B610/B612</f>
        <v>4.732739910431568E-2</v>
      </c>
      <c r="D610" s="33">
        <v>13245.35</v>
      </c>
      <c r="E610" s="37">
        <f>D610/D612</f>
        <v>0.2064749906079355</v>
      </c>
      <c r="F610" s="55">
        <f>-1330.23+-721.98</f>
        <v>-2052.21</v>
      </c>
      <c r="G610" s="33">
        <f>B610+D610</f>
        <v>34402.129999999997</v>
      </c>
      <c r="H610" s="39">
        <f>G610/G612</f>
        <v>6.7299422041351864E-2</v>
      </c>
    </row>
    <row r="611" spans="1:8" ht="16.5" customHeight="1" thickBot="1" x14ac:dyDescent="0.25">
      <c r="A611" s="40" t="s">
        <v>29</v>
      </c>
      <c r="B611" s="41">
        <v>27933.62</v>
      </c>
      <c r="C611" s="136">
        <f>B611/B612</f>
        <v>6.2487088402313332E-2</v>
      </c>
      <c r="D611" s="42">
        <v>7424.85</v>
      </c>
      <c r="E611" s="43">
        <f>D611/D612</f>
        <v>0.11574219133622969</v>
      </c>
      <c r="F611" s="56">
        <f>-870.08+-2729.78</f>
        <v>-3599.86</v>
      </c>
      <c r="G611" s="33">
        <f>B611+D611</f>
        <v>35358.47</v>
      </c>
      <c r="H611" s="45">
        <f>G611/G612</f>
        <v>6.9170269261423029E-2</v>
      </c>
    </row>
    <row r="612" spans="1:8" ht="16.5" customHeight="1" thickBot="1" x14ac:dyDescent="0.25">
      <c r="A612" s="46" t="s">
        <v>24</v>
      </c>
      <c r="B612" s="47">
        <f>SUM(B607:B611)</f>
        <v>447030.27</v>
      </c>
      <c r="C612" s="137">
        <f>B612/B612</f>
        <v>1</v>
      </c>
      <c r="D612" s="47">
        <f>SUM(D607:D611)</f>
        <v>64149.899999999994</v>
      </c>
      <c r="E612" s="48">
        <f>D612/D612</f>
        <v>1</v>
      </c>
      <c r="F612" s="49">
        <f>SUM(F607:F611)</f>
        <v>-17591.75</v>
      </c>
      <c r="G612" s="47">
        <f>SUM(G607:G611)</f>
        <v>511180.17000000004</v>
      </c>
      <c r="H612" s="50">
        <f>G612/G612</f>
        <v>1</v>
      </c>
    </row>
    <row r="613" spans="1:8" ht="16.5" customHeight="1" x14ac:dyDescent="0.2"/>
    <row r="614" spans="1:8" ht="16.5" customHeight="1" x14ac:dyDescent="0.2"/>
    <row r="615" spans="1:8" ht="16.5" customHeight="1" thickBot="1" x14ac:dyDescent="0.25">
      <c r="A615" s="22" t="s">
        <v>39</v>
      </c>
    </row>
    <row r="616" spans="1:8" ht="16.5" customHeight="1" thickBot="1" x14ac:dyDescent="0.25">
      <c r="A616" s="23" t="s">
        <v>19</v>
      </c>
      <c r="B616" s="24" t="s">
        <v>20</v>
      </c>
      <c r="C616" s="133" t="s">
        <v>21</v>
      </c>
      <c r="D616" s="25" t="s">
        <v>22</v>
      </c>
      <c r="E616" s="26" t="s">
        <v>21</v>
      </c>
      <c r="F616" s="25" t="s">
        <v>23</v>
      </c>
      <c r="G616" s="26" t="s">
        <v>24</v>
      </c>
      <c r="H616" s="25" t="s">
        <v>21</v>
      </c>
    </row>
    <row r="617" spans="1:8" ht="16.5" customHeight="1" x14ac:dyDescent="0.2">
      <c r="A617" s="28" t="s">
        <v>25</v>
      </c>
      <c r="B617" s="29">
        <v>203330.42</v>
      </c>
      <c r="C617" s="134">
        <f>B617/B622</f>
        <v>0.59501239418821028</v>
      </c>
      <c r="D617" s="31">
        <v>8987.7800000000007</v>
      </c>
      <c r="E617" s="30">
        <f>D617/D622</f>
        <v>0.11454317145791615</v>
      </c>
      <c r="F617" s="57">
        <f>-331.3+-2713.17</f>
        <v>-3044.4700000000003</v>
      </c>
      <c r="G617" s="58">
        <f>B617+D617</f>
        <v>212318.2</v>
      </c>
      <c r="H617" s="34">
        <f>G617/G622</f>
        <v>0.50528974931137871</v>
      </c>
    </row>
    <row r="618" spans="1:8" ht="16.5" customHeight="1" x14ac:dyDescent="0.2">
      <c r="A618" s="35" t="s">
        <v>26</v>
      </c>
      <c r="B618" s="36">
        <v>76876.98</v>
      </c>
      <c r="C618" s="135">
        <f>B618/B622</f>
        <v>0.22496759672143082</v>
      </c>
      <c r="D618" s="29">
        <v>21561.62</v>
      </c>
      <c r="E618" s="37">
        <f>D618/D622</f>
        <v>0.27478824988711714</v>
      </c>
      <c r="F618" s="59">
        <f>-391.14+-4073.14</f>
        <v>-4464.28</v>
      </c>
      <c r="G618" s="58">
        <f>B618+D618</f>
        <v>98438.599999999991</v>
      </c>
      <c r="H618" s="39">
        <f>G618/G622</f>
        <v>0.23427108705972013</v>
      </c>
    </row>
    <row r="619" spans="1:8" ht="16.5" customHeight="1" x14ac:dyDescent="0.2">
      <c r="A619" s="35" t="s">
        <v>27</v>
      </c>
      <c r="B619" s="36">
        <v>29713.67</v>
      </c>
      <c r="C619" s="135">
        <f>B619/B622</f>
        <v>8.6952074986214045E-2</v>
      </c>
      <c r="D619" s="33">
        <v>17634.62</v>
      </c>
      <c r="E619" s="37">
        <f>D619/D622</f>
        <v>0.22474129342898883</v>
      </c>
      <c r="F619" s="60">
        <f>-157.5+-2566.71</f>
        <v>-2724.21</v>
      </c>
      <c r="G619" s="58">
        <f>B619+D619</f>
        <v>47348.289999999994</v>
      </c>
      <c r="H619" s="39">
        <f>G619/G622</f>
        <v>0.11268278265557287</v>
      </c>
    </row>
    <row r="620" spans="1:8" ht="16.5" customHeight="1" x14ac:dyDescent="0.2">
      <c r="A620" s="35" t="s">
        <v>28</v>
      </c>
      <c r="B620" s="36">
        <v>12797.16</v>
      </c>
      <c r="C620" s="135">
        <f>B620/B622</f>
        <v>3.7448743824999707E-2</v>
      </c>
      <c r="D620" s="33">
        <v>11157.47</v>
      </c>
      <c r="E620" s="37">
        <f>D620/D622</f>
        <v>0.14219440164829975</v>
      </c>
      <c r="F620" s="60">
        <v>-543.26</v>
      </c>
      <c r="G620" s="58">
        <f>B620+D620</f>
        <v>23954.629999999997</v>
      </c>
      <c r="H620" s="39">
        <f>G620/G622</f>
        <v>5.7008909210547319E-2</v>
      </c>
    </row>
    <row r="621" spans="1:8" ht="16.5" customHeight="1" thickBot="1" x14ac:dyDescent="0.25">
      <c r="A621" s="40" t="s">
        <v>29</v>
      </c>
      <c r="B621" s="41">
        <v>19006.45</v>
      </c>
      <c r="C621" s="136">
        <f>B621/B622</f>
        <v>5.5619190279145192E-2</v>
      </c>
      <c r="D621" s="42">
        <v>19124.82</v>
      </c>
      <c r="E621" s="43">
        <f>D621/D622</f>
        <v>0.24373288357767811</v>
      </c>
      <c r="F621" s="61">
        <f>-2345.37+-1131.38</f>
        <v>-3476.75</v>
      </c>
      <c r="G621" s="58">
        <f>B621+D621</f>
        <v>38131.270000000004</v>
      </c>
      <c r="H621" s="45">
        <f>G621/G622</f>
        <v>9.0747471762781029E-2</v>
      </c>
    </row>
    <row r="622" spans="1:8" ht="16.5" customHeight="1" thickBot="1" x14ac:dyDescent="0.25">
      <c r="A622" s="46" t="s">
        <v>24</v>
      </c>
      <c r="B622" s="47">
        <f>SUM(B617:B621)</f>
        <v>341724.68</v>
      </c>
      <c r="C622" s="137">
        <f>B622/B622</f>
        <v>1</v>
      </c>
      <c r="D622" s="47">
        <f>SUM(D617:D621)</f>
        <v>78466.31</v>
      </c>
      <c r="E622" s="48">
        <f>D622/D622</f>
        <v>1</v>
      </c>
      <c r="F622" s="62">
        <f>SUM(F617:F621)</f>
        <v>-14252.97</v>
      </c>
      <c r="G622" s="63">
        <f>SUM(G617:G621)</f>
        <v>420190.99</v>
      </c>
      <c r="H622" s="50">
        <f>G622/G622</f>
        <v>1</v>
      </c>
    </row>
    <row r="623" spans="1:8" ht="16.5" customHeight="1" x14ac:dyDescent="0.2"/>
    <row r="624" spans="1:8" ht="16.5" customHeight="1" x14ac:dyDescent="0.2"/>
    <row r="625" spans="1:8" ht="16.5" customHeight="1" thickBot="1" x14ac:dyDescent="0.25">
      <c r="A625" s="22" t="s">
        <v>40</v>
      </c>
    </row>
    <row r="626" spans="1:8" ht="16.5" customHeight="1" thickBot="1" x14ac:dyDescent="0.25">
      <c r="A626" s="23" t="s">
        <v>19</v>
      </c>
      <c r="B626" s="24" t="s">
        <v>20</v>
      </c>
      <c r="C626" s="133" t="s">
        <v>21</v>
      </c>
      <c r="D626" s="25" t="s">
        <v>22</v>
      </c>
      <c r="E626" s="26" t="s">
        <v>21</v>
      </c>
      <c r="F626" s="25" t="s">
        <v>23</v>
      </c>
      <c r="G626" s="26" t="s">
        <v>24</v>
      </c>
      <c r="H626" s="25" t="s">
        <v>21</v>
      </c>
    </row>
    <row r="627" spans="1:8" ht="16.5" customHeight="1" x14ac:dyDescent="0.2">
      <c r="A627" s="28" t="s">
        <v>25</v>
      </c>
      <c r="B627" s="29">
        <v>136434.59</v>
      </c>
      <c r="C627" s="134">
        <f>B627/B632</f>
        <v>0.59760104737634667</v>
      </c>
      <c r="D627" s="31">
        <v>15725.41</v>
      </c>
      <c r="E627" s="30">
        <f>D627/D632</f>
        <v>0.21648777464492458</v>
      </c>
      <c r="F627" s="57">
        <f>-407+-2713.17</f>
        <v>-3120.17</v>
      </c>
      <c r="G627" s="58">
        <f>B627+D627</f>
        <v>152160</v>
      </c>
      <c r="H627" s="34">
        <f>G627/G632</f>
        <v>0.50561138587928023</v>
      </c>
    </row>
    <row r="628" spans="1:8" ht="16.5" customHeight="1" x14ac:dyDescent="0.2">
      <c r="A628" s="35" t="s">
        <v>26</v>
      </c>
      <c r="B628" s="36">
        <v>51272.22</v>
      </c>
      <c r="C628" s="135">
        <f>B628/B632</f>
        <v>0.22457891633866803</v>
      </c>
      <c r="D628" s="29">
        <v>22891.41</v>
      </c>
      <c r="E628" s="37">
        <f>D628/D632</f>
        <v>0.31514029900553137</v>
      </c>
      <c r="F628" s="59">
        <f>-145-4073.14</f>
        <v>-4218.1399999999994</v>
      </c>
      <c r="G628" s="58">
        <f>B628+D628</f>
        <v>74163.63</v>
      </c>
      <c r="H628" s="39">
        <f>G628/G632</f>
        <v>0.2464378006449669</v>
      </c>
    </row>
    <row r="629" spans="1:8" ht="16.5" customHeight="1" x14ac:dyDescent="0.2">
      <c r="A629" s="35" t="s">
        <v>27</v>
      </c>
      <c r="B629" s="36">
        <v>17124.07</v>
      </c>
      <c r="C629" s="135">
        <f>B629/B632</f>
        <v>7.5005628465229221E-2</v>
      </c>
      <c r="D629" s="33">
        <v>13125.46</v>
      </c>
      <c r="E629" s="37">
        <f>D629/D632</f>
        <v>0.18069491520990369</v>
      </c>
      <c r="F629" s="60">
        <f>-26.91-2566.71</f>
        <v>-2593.62</v>
      </c>
      <c r="G629" s="58">
        <f>B629+D629</f>
        <v>30249.53</v>
      </c>
      <c r="H629" s="39">
        <f>G629/G632</f>
        <v>0.10051594890573648</v>
      </c>
    </row>
    <row r="630" spans="1:8" ht="16.5" customHeight="1" x14ac:dyDescent="0.2">
      <c r="A630" s="35" t="s">
        <v>28</v>
      </c>
      <c r="B630" s="36">
        <v>5463.63</v>
      </c>
      <c r="C630" s="135">
        <f>B630/B632</f>
        <v>2.3931401930235064E-2</v>
      </c>
      <c r="D630" s="33">
        <v>9001.82</v>
      </c>
      <c r="E630" s="37">
        <f>D630/D632</f>
        <v>0.1239257977727878</v>
      </c>
      <c r="F630" s="60">
        <f>-337.46-543.26</f>
        <v>-880.72</v>
      </c>
      <c r="G630" s="58">
        <f>B630+D630</f>
        <v>14465.45</v>
      </c>
      <c r="H630" s="39">
        <f>G630/G632</f>
        <v>4.806714131090585E-2</v>
      </c>
    </row>
    <row r="631" spans="1:8" ht="16.5" customHeight="1" thickBot="1" x14ac:dyDescent="0.25">
      <c r="A631" s="40" t="s">
        <v>29</v>
      </c>
      <c r="B631" s="41">
        <v>18009.29</v>
      </c>
      <c r="C631" s="136">
        <f>B631/B632</f>
        <v>7.8883005889520894E-2</v>
      </c>
      <c r="D631" s="42">
        <v>11894.69</v>
      </c>
      <c r="E631" s="43">
        <f>D631/D632</f>
        <v>0.16375121336685264</v>
      </c>
      <c r="F631" s="61">
        <f>-622.67-1131.38</f>
        <v>-1754.0500000000002</v>
      </c>
      <c r="G631" s="58">
        <f>B631+D631</f>
        <v>29903.980000000003</v>
      </c>
      <c r="H631" s="45">
        <f>G631/G632</f>
        <v>9.9367723259110668E-2</v>
      </c>
    </row>
    <row r="632" spans="1:8" ht="16.5" customHeight="1" thickBot="1" x14ac:dyDescent="0.25">
      <c r="A632" s="46" t="s">
        <v>24</v>
      </c>
      <c r="B632" s="47">
        <f>SUM(B627:B631)</f>
        <v>228303.80000000002</v>
      </c>
      <c r="C632" s="137">
        <f>B632/B632</f>
        <v>1</v>
      </c>
      <c r="D632" s="47">
        <f>SUM(D627:D631)</f>
        <v>72638.789999999994</v>
      </c>
      <c r="E632" s="48">
        <f>D632/D632</f>
        <v>1</v>
      </c>
      <c r="F632" s="62">
        <f>SUM(F627:F631)</f>
        <v>-12566.7</v>
      </c>
      <c r="G632" s="63">
        <f>SUM(G627:G631)</f>
        <v>300942.58999999997</v>
      </c>
      <c r="H632" s="50">
        <f>G632/G632</f>
        <v>1</v>
      </c>
    </row>
    <row r="633" spans="1:8" ht="16.5" customHeight="1" x14ac:dyDescent="0.2"/>
    <row r="634" spans="1:8" ht="16.5" customHeight="1" x14ac:dyDescent="0.2"/>
    <row r="635" spans="1:8" ht="16.5" customHeight="1" thickBot="1" x14ac:dyDescent="0.25">
      <c r="A635" s="22" t="s">
        <v>41</v>
      </c>
    </row>
    <row r="636" spans="1:8" ht="16.5" customHeight="1" thickBot="1" x14ac:dyDescent="0.25">
      <c r="A636" s="23" t="s">
        <v>19</v>
      </c>
      <c r="B636" s="24" t="s">
        <v>20</v>
      </c>
      <c r="C636" s="133" t="s">
        <v>21</v>
      </c>
      <c r="D636" s="25" t="s">
        <v>22</v>
      </c>
      <c r="E636" s="26" t="s">
        <v>21</v>
      </c>
      <c r="F636" s="25" t="s">
        <v>23</v>
      </c>
      <c r="G636" s="26" t="s">
        <v>24</v>
      </c>
      <c r="H636" s="25" t="s">
        <v>21</v>
      </c>
    </row>
    <row r="637" spans="1:8" ht="16.5" customHeight="1" x14ac:dyDescent="0.2">
      <c r="A637" s="28" t="s">
        <v>25</v>
      </c>
      <c r="B637" s="29">
        <v>207105.37</v>
      </c>
      <c r="C637" s="134">
        <f>B637/B642</f>
        <v>0.73850316599615928</v>
      </c>
      <c r="D637" s="31">
        <v>11686.79</v>
      </c>
      <c r="E637" s="30">
        <f>D637/D642</f>
        <v>0.21821821541458286</v>
      </c>
      <c r="F637" s="57">
        <f>-1579.1+-212</f>
        <v>-1791.1</v>
      </c>
      <c r="G637" s="58">
        <f>B637+D637</f>
        <v>218792.16</v>
      </c>
      <c r="H637" s="34">
        <f>G637/G642</f>
        <v>0.65507634996821817</v>
      </c>
    </row>
    <row r="638" spans="1:8" ht="16.5" customHeight="1" x14ac:dyDescent="0.2">
      <c r="A638" s="35" t="s">
        <v>26</v>
      </c>
      <c r="B638" s="36">
        <v>43707.34</v>
      </c>
      <c r="C638" s="135">
        <f>B638/B642</f>
        <v>0.15585307598383649</v>
      </c>
      <c r="D638" s="29">
        <v>17047.64</v>
      </c>
      <c r="E638" s="37">
        <f>D638/D642</f>
        <v>0.31831714079146273</v>
      </c>
      <c r="F638" s="59">
        <f>-2185.27-97.84</f>
        <v>-2283.11</v>
      </c>
      <c r="G638" s="58">
        <f>B638+D638</f>
        <v>60754.979999999996</v>
      </c>
      <c r="H638" s="39">
        <f>G638/G642</f>
        <v>0.18190391529930547</v>
      </c>
    </row>
    <row r="639" spans="1:8" ht="16.5" customHeight="1" x14ac:dyDescent="0.2">
      <c r="A639" s="35" t="s">
        <v>27</v>
      </c>
      <c r="B639" s="36">
        <v>7577.92</v>
      </c>
      <c r="C639" s="135">
        <f>B639/B642</f>
        <v>2.702159732345721E-2</v>
      </c>
      <c r="D639" s="33">
        <v>10459.69</v>
      </c>
      <c r="E639" s="37">
        <f>D639/D642</f>
        <v>0.19530554460119143</v>
      </c>
      <c r="F639" s="60">
        <f>-1023.23-288</f>
        <v>-1311.23</v>
      </c>
      <c r="G639" s="58">
        <f>B639+D639</f>
        <v>18037.61</v>
      </c>
      <c r="H639" s="39">
        <f>G639/G642</f>
        <v>5.4005644996375703E-2</v>
      </c>
    </row>
    <row r="640" spans="1:8" ht="16.5" customHeight="1" x14ac:dyDescent="0.2">
      <c r="A640" s="35" t="s">
        <v>28</v>
      </c>
      <c r="B640" s="36">
        <v>11660.48</v>
      </c>
      <c r="C640" s="135">
        <f>B640/B642</f>
        <v>4.1579324558483906E-2</v>
      </c>
      <c r="D640" s="33">
        <v>6385.32</v>
      </c>
      <c r="E640" s="37">
        <f>D640/D642</f>
        <v>0.11922804596052843</v>
      </c>
      <c r="F640" s="60">
        <f>-990.77-5</f>
        <v>-995.77</v>
      </c>
      <c r="G640" s="58">
        <f>B640+D640</f>
        <v>18045.8</v>
      </c>
      <c r="H640" s="39">
        <f>G640/G642</f>
        <v>5.4030166328887061E-2</v>
      </c>
    </row>
    <row r="641" spans="1:8" ht="16.5" customHeight="1" thickBot="1" x14ac:dyDescent="0.25">
      <c r="A641" s="40" t="s">
        <v>29</v>
      </c>
      <c r="B641" s="41">
        <v>10388.27</v>
      </c>
      <c r="C641" s="136">
        <f>B641/B642</f>
        <v>3.7042836138063064E-2</v>
      </c>
      <c r="D641" s="42">
        <v>7976.08</v>
      </c>
      <c r="E641" s="43">
        <f>D641/D642</f>
        <v>0.14893105323223449</v>
      </c>
      <c r="F641" s="61">
        <f>-1132.18-735.01</f>
        <v>-1867.19</v>
      </c>
      <c r="G641" s="58">
        <f>B641+D641</f>
        <v>18364.349999999999</v>
      </c>
      <c r="H641" s="45">
        <f>G641/G642</f>
        <v>5.4983923407213704E-2</v>
      </c>
    </row>
    <row r="642" spans="1:8" ht="16.5" customHeight="1" thickBot="1" x14ac:dyDescent="0.25">
      <c r="A642" s="46" t="s">
        <v>24</v>
      </c>
      <c r="B642" s="47">
        <f>SUM(B637:B641)</f>
        <v>280439.38</v>
      </c>
      <c r="C642" s="137">
        <f>B642/B642</f>
        <v>1</v>
      </c>
      <c r="D642" s="47">
        <f>SUM(D637:D641)</f>
        <v>53555.520000000004</v>
      </c>
      <c r="E642" s="48">
        <f>D642/D642</f>
        <v>1</v>
      </c>
      <c r="F642" s="62">
        <f>SUM(F637:F641)</f>
        <v>-8248.4000000000015</v>
      </c>
      <c r="G642" s="63">
        <f>SUM(G637:G641)</f>
        <v>333994.89999999997</v>
      </c>
      <c r="H642" s="50">
        <f>G642/G642</f>
        <v>1</v>
      </c>
    </row>
    <row r="643" spans="1:8" ht="16.5" customHeight="1" x14ac:dyDescent="0.2"/>
    <row r="644" spans="1:8" ht="16.5" customHeight="1" x14ac:dyDescent="0.2"/>
    <row r="645" spans="1:8" ht="16.5" customHeight="1" thickBot="1" x14ac:dyDescent="0.25">
      <c r="A645" s="22" t="s">
        <v>42</v>
      </c>
    </row>
    <row r="646" spans="1:8" ht="16.5" customHeight="1" thickBot="1" x14ac:dyDescent="0.25">
      <c r="A646" s="23" t="s">
        <v>19</v>
      </c>
      <c r="B646" s="24" t="s">
        <v>20</v>
      </c>
      <c r="C646" s="133" t="s">
        <v>21</v>
      </c>
      <c r="D646" s="25" t="s">
        <v>22</v>
      </c>
      <c r="E646" s="26" t="s">
        <v>21</v>
      </c>
      <c r="F646" s="25" t="s">
        <v>23</v>
      </c>
      <c r="G646" s="26" t="s">
        <v>24</v>
      </c>
      <c r="H646" s="25" t="s">
        <v>21</v>
      </c>
    </row>
    <row r="647" spans="1:8" ht="16.5" customHeight="1" x14ac:dyDescent="0.2">
      <c r="A647" s="28" t="s">
        <v>25</v>
      </c>
      <c r="B647" s="29">
        <v>129145.38</v>
      </c>
      <c r="C647" s="134">
        <f>B647/B652</f>
        <v>0.7331252957938561</v>
      </c>
      <c r="D647" s="31">
        <v>10331.81</v>
      </c>
      <c r="E647" s="30">
        <f>D647/D652</f>
        <v>0.23000892492002858</v>
      </c>
      <c r="F647" s="57">
        <v>-1018.31</v>
      </c>
      <c r="G647" s="58">
        <f>B647+D647</f>
        <v>139477.19</v>
      </c>
      <c r="H647" s="34">
        <f>G647/G652</f>
        <v>0.63090017536012877</v>
      </c>
    </row>
    <row r="648" spans="1:8" ht="16.5" customHeight="1" x14ac:dyDescent="0.2">
      <c r="A648" s="35" t="s">
        <v>26</v>
      </c>
      <c r="B648" s="36">
        <v>16409.91</v>
      </c>
      <c r="C648" s="135">
        <f>B648/B652</f>
        <v>9.3154862548707182E-2</v>
      </c>
      <c r="D648" s="29">
        <v>17780.61</v>
      </c>
      <c r="E648" s="37">
        <f>D648/D652</f>
        <v>0.39583567550335419</v>
      </c>
      <c r="F648" s="59">
        <v>-1172.1099999999999</v>
      </c>
      <c r="G648" s="58">
        <f>B648+D648</f>
        <v>34190.520000000004</v>
      </c>
      <c r="H648" s="39">
        <f>G648/G652</f>
        <v>0.15465471496560829</v>
      </c>
    </row>
    <row r="649" spans="1:8" ht="16.5" customHeight="1" x14ac:dyDescent="0.2">
      <c r="A649" s="35" t="s">
        <v>27</v>
      </c>
      <c r="B649" s="36">
        <v>17748.97</v>
      </c>
      <c r="C649" s="135">
        <f>B649/B652</f>
        <v>0.10075636372966867</v>
      </c>
      <c r="D649" s="33">
        <v>7242.84</v>
      </c>
      <c r="E649" s="37">
        <f>D649/D652</f>
        <v>0.16124162579139376</v>
      </c>
      <c r="F649" s="60">
        <v>-727.15</v>
      </c>
      <c r="G649" s="58">
        <f>B649+D649</f>
        <v>24991.81</v>
      </c>
      <c r="H649" s="39">
        <f>G649/G652</f>
        <v>0.1130459920476389</v>
      </c>
    </row>
    <row r="650" spans="1:8" ht="16.5" customHeight="1" x14ac:dyDescent="0.2">
      <c r="A650" s="35" t="s">
        <v>28</v>
      </c>
      <c r="B650" s="36">
        <v>7703.5</v>
      </c>
      <c r="C650" s="135">
        <f>B650/B652</f>
        <v>4.3730799476899368E-2</v>
      </c>
      <c r="D650" s="33">
        <v>4669.12</v>
      </c>
      <c r="E650" s="37">
        <f>D650/D652</f>
        <v>0.103944930416123</v>
      </c>
      <c r="F650" s="60">
        <v>-608.29</v>
      </c>
      <c r="G650" s="58">
        <f>B650+D650</f>
        <v>12372.619999999999</v>
      </c>
      <c r="H650" s="39">
        <f>G650/G652</f>
        <v>5.596533832997521E-2</v>
      </c>
    </row>
    <row r="651" spans="1:8" ht="16.5" customHeight="1" thickBot="1" x14ac:dyDescent="0.25">
      <c r="A651" s="40" t="s">
        <v>29</v>
      </c>
      <c r="B651" s="41">
        <v>5149.55</v>
      </c>
      <c r="C651" s="136">
        <f>B651/B652</f>
        <v>2.9232678450868715E-2</v>
      </c>
      <c r="D651" s="42">
        <v>4894.79</v>
      </c>
      <c r="E651" s="43">
        <f>D651/D652</f>
        <v>0.10896884336910055</v>
      </c>
      <c r="F651" s="61">
        <v>-1116.1400000000001</v>
      </c>
      <c r="G651" s="58">
        <f>B651+D651</f>
        <v>10044.34</v>
      </c>
      <c r="H651" s="45">
        <f>G651/G652</f>
        <v>4.5433779296648831E-2</v>
      </c>
    </row>
    <row r="652" spans="1:8" ht="16.5" customHeight="1" thickBot="1" x14ac:dyDescent="0.25">
      <c r="A652" s="46" t="s">
        <v>24</v>
      </c>
      <c r="B652" s="47">
        <f>SUM(B647:B651)</f>
        <v>176157.31</v>
      </c>
      <c r="C652" s="137">
        <f>B652/B652</f>
        <v>1</v>
      </c>
      <c r="D652" s="47">
        <f>SUM(D647:D651)</f>
        <v>44919.17</v>
      </c>
      <c r="E652" s="48">
        <f>D652/D652</f>
        <v>1</v>
      </c>
      <c r="F652" s="62">
        <f>SUM(F647:F651)</f>
        <v>-4642</v>
      </c>
      <c r="G652" s="63">
        <f>SUM(G647:G651)</f>
        <v>221076.48000000001</v>
      </c>
      <c r="H652" s="50">
        <f>G652/G652</f>
        <v>1</v>
      </c>
    </row>
    <row r="653" spans="1:8" ht="16.5" customHeight="1" x14ac:dyDescent="0.2"/>
    <row r="654" spans="1:8" ht="16.5" customHeight="1" x14ac:dyDescent="0.2"/>
    <row r="655" spans="1:8" ht="16.5" customHeight="1" thickBot="1" x14ac:dyDescent="0.25">
      <c r="A655" s="22" t="s">
        <v>43</v>
      </c>
    </row>
    <row r="656" spans="1:8" ht="16.5" customHeight="1" thickBot="1" x14ac:dyDescent="0.25">
      <c r="A656" s="23" t="s">
        <v>19</v>
      </c>
      <c r="B656" s="24" t="s">
        <v>20</v>
      </c>
      <c r="C656" s="133" t="s">
        <v>21</v>
      </c>
      <c r="D656" s="25" t="s">
        <v>22</v>
      </c>
      <c r="E656" s="26" t="s">
        <v>21</v>
      </c>
      <c r="F656" s="25" t="s">
        <v>23</v>
      </c>
      <c r="G656" s="26" t="s">
        <v>24</v>
      </c>
      <c r="H656" s="25" t="s">
        <v>21</v>
      </c>
    </row>
    <row r="657" spans="1:8" ht="16.5" customHeight="1" x14ac:dyDescent="0.2">
      <c r="A657" s="28" t="s">
        <v>25</v>
      </c>
      <c r="B657" s="29">
        <v>94713.21</v>
      </c>
      <c r="C657" s="134">
        <f>B657/B662</f>
        <v>0.58228053314211137</v>
      </c>
      <c r="D657" s="31">
        <v>6040.29</v>
      </c>
      <c r="E657" s="30">
        <f>D657/D662</f>
        <v>0.21551005641525509</v>
      </c>
      <c r="F657" s="57">
        <v>-438.5</v>
      </c>
      <c r="G657" s="58">
        <f>B657+D657</f>
        <v>100753.5</v>
      </c>
      <c r="H657" s="34">
        <f>G657/G662</f>
        <v>0.52837123882887627</v>
      </c>
    </row>
    <row r="658" spans="1:8" ht="16.5" customHeight="1" x14ac:dyDescent="0.2">
      <c r="A658" s="35" t="s">
        <v>26</v>
      </c>
      <c r="B658" s="36">
        <v>47783.85</v>
      </c>
      <c r="C658" s="135">
        <f>B658/B662</f>
        <v>0.29376689538431522</v>
      </c>
      <c r="D658" s="29">
        <v>8858.4699999999993</v>
      </c>
      <c r="E658" s="37">
        <f>D658/D662</f>
        <v>0.31605922388707242</v>
      </c>
      <c r="F658" s="59">
        <v>-629.39</v>
      </c>
      <c r="G658" s="58">
        <f>B658+D658</f>
        <v>56642.32</v>
      </c>
      <c r="H658" s="39">
        <f>G658/G662</f>
        <v>0.29704350507467864</v>
      </c>
    </row>
    <row r="659" spans="1:8" ht="16.5" customHeight="1" x14ac:dyDescent="0.2">
      <c r="A659" s="35" t="s">
        <v>27</v>
      </c>
      <c r="B659" s="36">
        <v>13272.69</v>
      </c>
      <c r="C659" s="135">
        <f>B659/B662</f>
        <v>8.1598216441296528E-2</v>
      </c>
      <c r="D659" s="33">
        <v>7162.1</v>
      </c>
      <c r="E659" s="37">
        <f>D659/D662</f>
        <v>0.25553484601760817</v>
      </c>
      <c r="F659" s="60">
        <v>-738.94</v>
      </c>
      <c r="G659" s="58">
        <f>B659+D659</f>
        <v>20434.79</v>
      </c>
      <c r="H659" s="39">
        <f>G659/G662</f>
        <v>0.10716407179411071</v>
      </c>
    </row>
    <row r="660" spans="1:8" ht="16.5" customHeight="1" x14ac:dyDescent="0.2">
      <c r="A660" s="35" t="s">
        <v>28</v>
      </c>
      <c r="B660" s="36">
        <v>4562.7700000000004</v>
      </c>
      <c r="C660" s="135">
        <f>B660/B662</f>
        <v>2.8051125584328013E-2</v>
      </c>
      <c r="D660" s="33">
        <v>2512.0100000000002</v>
      </c>
      <c r="E660" s="37">
        <f>D660/D662</f>
        <v>8.9625401564442264E-2</v>
      </c>
      <c r="F660" s="60">
        <v>-464.21</v>
      </c>
      <c r="G660" s="58">
        <f>B660+D660</f>
        <v>7074.7800000000007</v>
      </c>
      <c r="H660" s="39">
        <f>G660/G662</f>
        <v>3.7101542606874774E-2</v>
      </c>
    </row>
    <row r="661" spans="1:8" ht="16.5" customHeight="1" thickBot="1" x14ac:dyDescent="0.25">
      <c r="A661" s="40" t="s">
        <v>29</v>
      </c>
      <c r="B661" s="41">
        <v>2326.5500000000002</v>
      </c>
      <c r="C661" s="136">
        <f>B661/B662</f>
        <v>1.4303229447949017E-2</v>
      </c>
      <c r="D661" s="42">
        <f>2601+833.6+20.41</f>
        <v>3455.0099999999998</v>
      </c>
      <c r="E661" s="43">
        <f>D661/D662</f>
        <v>0.123270472115622</v>
      </c>
      <c r="F661" s="61">
        <f>-736.73-541.64-154</f>
        <v>-1432.37</v>
      </c>
      <c r="G661" s="58">
        <f>B661+D661</f>
        <v>5781.5599999999995</v>
      </c>
      <c r="H661" s="45">
        <f>G661/G662</f>
        <v>3.031964169545949E-2</v>
      </c>
    </row>
    <row r="662" spans="1:8" ht="16.5" customHeight="1" thickBot="1" x14ac:dyDescent="0.25">
      <c r="A662" s="46" t="s">
        <v>24</v>
      </c>
      <c r="B662" s="47">
        <f>SUM(B657:B661)</f>
        <v>162659.06999999998</v>
      </c>
      <c r="C662" s="137">
        <f>B662/B662</f>
        <v>1</v>
      </c>
      <c r="D662" s="47">
        <f>SUM(D657:D661)</f>
        <v>28027.88</v>
      </c>
      <c r="E662" s="48">
        <f>D662/D662</f>
        <v>1</v>
      </c>
      <c r="F662" s="62">
        <f>SUM(F657:F661)</f>
        <v>-3703.41</v>
      </c>
      <c r="G662" s="63">
        <f>SUM(G657:G661)</f>
        <v>190686.95</v>
      </c>
      <c r="H662" s="50">
        <f>G662/G662</f>
        <v>1</v>
      </c>
    </row>
    <row r="663" spans="1:8" ht="16.5" customHeight="1" x14ac:dyDescent="0.2"/>
    <row r="664" spans="1:8" ht="16.5" customHeight="1" x14ac:dyDescent="0.2"/>
    <row r="665" spans="1:8" ht="16.5" customHeight="1" thickBot="1" x14ac:dyDescent="0.25">
      <c r="A665" s="22" t="s">
        <v>44</v>
      </c>
    </row>
    <row r="666" spans="1:8" ht="16.5" customHeight="1" thickBot="1" x14ac:dyDescent="0.25">
      <c r="A666" s="23" t="s">
        <v>19</v>
      </c>
      <c r="B666" s="24" t="s">
        <v>20</v>
      </c>
      <c r="C666" s="133" t="s">
        <v>21</v>
      </c>
      <c r="D666" s="25" t="s">
        <v>22</v>
      </c>
      <c r="E666" s="26" t="s">
        <v>21</v>
      </c>
      <c r="F666" s="25" t="s">
        <v>23</v>
      </c>
      <c r="G666" s="26" t="s">
        <v>24</v>
      </c>
      <c r="H666" s="25" t="s">
        <v>21</v>
      </c>
    </row>
    <row r="667" spans="1:8" ht="16.5" customHeight="1" x14ac:dyDescent="0.2">
      <c r="A667" s="28" t="s">
        <v>25</v>
      </c>
      <c r="B667" s="29">
        <v>50186.55</v>
      </c>
      <c r="C667" s="134">
        <f>B667/B672</f>
        <v>0.46252322797603562</v>
      </c>
      <c r="D667" s="31">
        <v>1515.58</v>
      </c>
      <c r="E667" s="30">
        <f>D667/D672</f>
        <v>0.10213202402789327</v>
      </c>
      <c r="F667" s="57">
        <v>-808.13</v>
      </c>
      <c r="G667" s="58">
        <f>B667+D667</f>
        <v>51702.130000000005</v>
      </c>
      <c r="H667" s="34">
        <f>G667/G672</f>
        <v>0.41916534726904764</v>
      </c>
    </row>
    <row r="668" spans="1:8" ht="16.5" customHeight="1" x14ac:dyDescent="0.2">
      <c r="A668" s="35" t="s">
        <v>26</v>
      </c>
      <c r="B668" s="36">
        <v>39871.269999999997</v>
      </c>
      <c r="C668" s="135">
        <f>B668/B672</f>
        <v>0.36745678879907201</v>
      </c>
      <c r="D668" s="29">
        <v>5359.75</v>
      </c>
      <c r="E668" s="37">
        <f>D668/D672</f>
        <v>0.36118325379293797</v>
      </c>
      <c r="F668" s="59">
        <v>-496.4</v>
      </c>
      <c r="G668" s="58">
        <f>B668+D668</f>
        <v>45231.02</v>
      </c>
      <c r="H668" s="39">
        <f>G668/G672</f>
        <v>0.3667020334681228</v>
      </c>
    </row>
    <row r="669" spans="1:8" ht="16.5" customHeight="1" x14ac:dyDescent="0.2">
      <c r="A669" s="35" t="s">
        <v>27</v>
      </c>
      <c r="B669" s="36">
        <v>13749.55</v>
      </c>
      <c r="C669" s="135">
        <f>B669/B672</f>
        <v>0.12671694406604755</v>
      </c>
      <c r="D669" s="33">
        <v>3578.05</v>
      </c>
      <c r="E669" s="37">
        <f>D669/D672</f>
        <v>0.2411179143120149</v>
      </c>
      <c r="F669" s="60">
        <v>-506.65</v>
      </c>
      <c r="G669" s="58">
        <f>B669+D669</f>
        <v>17327.599999999999</v>
      </c>
      <c r="H669" s="39">
        <f>G669/G672</f>
        <v>0.14048027559675294</v>
      </c>
    </row>
    <row r="670" spans="1:8" ht="16.5" customHeight="1" x14ac:dyDescent="0.2">
      <c r="A670" s="35" t="s">
        <v>28</v>
      </c>
      <c r="B670" s="36">
        <v>4303.08</v>
      </c>
      <c r="C670" s="135">
        <f>B670/B672</f>
        <v>3.9657526804275631E-2</v>
      </c>
      <c r="D670" s="33">
        <v>2197.31</v>
      </c>
      <c r="E670" s="37">
        <f>D670/D672</f>
        <v>0.14807249879038398</v>
      </c>
      <c r="F670" s="60">
        <v>-396.05</v>
      </c>
      <c r="G670" s="58">
        <f>B670+D670</f>
        <v>6500.3899999999994</v>
      </c>
      <c r="H670" s="39">
        <f>G670/G672</f>
        <v>5.2700695923634945E-2</v>
      </c>
    </row>
    <row r="671" spans="1:8" ht="16.5" customHeight="1" thickBot="1" x14ac:dyDescent="0.25">
      <c r="A671" s="40" t="s">
        <v>29</v>
      </c>
      <c r="B671" s="41">
        <v>395.56</v>
      </c>
      <c r="C671" s="136">
        <f>B671/B672</f>
        <v>3.6455123545691154E-3</v>
      </c>
      <c r="D671" s="42">
        <f>2071.4+117.33</f>
        <v>2188.73</v>
      </c>
      <c r="E671" s="43">
        <f>D671/D672</f>
        <v>0.14749430907676986</v>
      </c>
      <c r="F671" s="61">
        <v>-1958.38</v>
      </c>
      <c r="G671" s="58">
        <f>B671+D671</f>
        <v>2584.29</v>
      </c>
      <c r="H671" s="45">
        <f>G671/G672</f>
        <v>2.0951647742441695E-2</v>
      </c>
    </row>
    <row r="672" spans="1:8" ht="16.5" customHeight="1" thickBot="1" x14ac:dyDescent="0.25">
      <c r="A672" s="46" t="s">
        <v>24</v>
      </c>
      <c r="B672" s="47">
        <f>SUM(B667:B671)</f>
        <v>108506.01000000001</v>
      </c>
      <c r="C672" s="137">
        <f>B672/B672</f>
        <v>1</v>
      </c>
      <c r="D672" s="47">
        <f>SUM(D667:D671)</f>
        <v>14839.42</v>
      </c>
      <c r="E672" s="48">
        <f>D672/D672</f>
        <v>1</v>
      </c>
      <c r="F672" s="62">
        <f>SUM(F667:F671)</f>
        <v>-4165.6100000000006</v>
      </c>
      <c r="G672" s="63">
        <f>SUM(G667:G671)</f>
        <v>123345.43</v>
      </c>
      <c r="H672" s="50">
        <f>G672/G672</f>
        <v>1</v>
      </c>
    </row>
    <row r="673" spans="1:8" ht="16.5" customHeight="1" x14ac:dyDescent="0.2"/>
    <row r="674" spans="1:8" ht="16.5" customHeight="1" x14ac:dyDescent="0.2"/>
    <row r="675" spans="1:8" ht="16.5" customHeight="1" thickBot="1" x14ac:dyDescent="0.25">
      <c r="A675" s="22" t="s">
        <v>45</v>
      </c>
    </row>
    <row r="676" spans="1:8" ht="16.5" customHeight="1" thickBot="1" x14ac:dyDescent="0.25">
      <c r="A676" s="23" t="s">
        <v>19</v>
      </c>
      <c r="B676" s="24" t="s">
        <v>20</v>
      </c>
      <c r="C676" s="133" t="s">
        <v>21</v>
      </c>
      <c r="D676" s="25" t="s">
        <v>22</v>
      </c>
      <c r="E676" s="26" t="s">
        <v>21</v>
      </c>
      <c r="F676" s="25" t="s">
        <v>23</v>
      </c>
      <c r="G676" s="26" t="s">
        <v>24</v>
      </c>
      <c r="H676" s="25" t="s">
        <v>21</v>
      </c>
    </row>
    <row r="677" spans="1:8" ht="16.5" customHeight="1" x14ac:dyDescent="0.2">
      <c r="A677" s="28" t="s">
        <v>25</v>
      </c>
      <c r="B677" s="29">
        <v>39550.9</v>
      </c>
      <c r="C677" s="134">
        <f>B677/B682</f>
        <v>0.52771987371837359</v>
      </c>
      <c r="D677" s="31">
        <v>2579.34</v>
      </c>
      <c r="E677" s="30">
        <f>D677/D682</f>
        <v>0.30445215868140846</v>
      </c>
      <c r="F677" s="57">
        <f>-566.28-398.28</f>
        <v>-964.56</v>
      </c>
      <c r="G677" s="58">
        <f>B677+D677</f>
        <v>42130.240000000005</v>
      </c>
      <c r="H677" s="34">
        <f>G677/G682</f>
        <v>0.50504466377139756</v>
      </c>
    </row>
    <row r="678" spans="1:8" ht="16.5" customHeight="1" x14ac:dyDescent="0.2">
      <c r="A678" s="35" t="s">
        <v>26</v>
      </c>
      <c r="B678" s="36">
        <v>25001.37</v>
      </c>
      <c r="C678" s="135">
        <f>B678/B682</f>
        <v>0.33358835877783649</v>
      </c>
      <c r="D678" s="29">
        <v>2872.41</v>
      </c>
      <c r="E678" s="37">
        <f>D678/D682</f>
        <v>0.33904464906451431</v>
      </c>
      <c r="F678" s="59">
        <f>-186.71-318.25</f>
        <v>-504.96000000000004</v>
      </c>
      <c r="G678" s="58">
        <f>B678+D678</f>
        <v>27873.78</v>
      </c>
      <c r="H678" s="39">
        <f>G678/G682</f>
        <v>0.33414250306045973</v>
      </c>
    </row>
    <row r="679" spans="1:8" ht="16.5" customHeight="1" x14ac:dyDescent="0.2">
      <c r="A679" s="35" t="s">
        <v>27</v>
      </c>
      <c r="B679" s="36">
        <v>7669.99</v>
      </c>
      <c r="C679" s="135">
        <f>B679/B682</f>
        <v>0.10233916685135327</v>
      </c>
      <c r="D679" s="33">
        <v>1373.43</v>
      </c>
      <c r="E679" s="37">
        <f>D679/D682</f>
        <v>0.16211268320493105</v>
      </c>
      <c r="F679" s="60">
        <f>-235-639.9</f>
        <v>-874.9</v>
      </c>
      <c r="G679" s="58">
        <f>B679+D679</f>
        <v>9043.42</v>
      </c>
      <c r="H679" s="39">
        <f>G679/G682</f>
        <v>0.1084098028694717</v>
      </c>
    </row>
    <row r="680" spans="1:8" ht="16.5" customHeight="1" x14ac:dyDescent="0.2">
      <c r="A680" s="35" t="s">
        <v>28</v>
      </c>
      <c r="B680" s="36">
        <v>2507.0500000000002</v>
      </c>
      <c r="C680" s="135">
        <f>B680/B682</f>
        <v>3.3451074676066755E-2</v>
      </c>
      <c r="D680" s="33">
        <v>1468.76</v>
      </c>
      <c r="E680" s="37">
        <f>D680/D682</f>
        <v>0.17336495095059412</v>
      </c>
      <c r="F680" s="60">
        <f>-115-2615.49</f>
        <v>-2730.49</v>
      </c>
      <c r="G680" s="58">
        <f>B680+D680</f>
        <v>3975.8100000000004</v>
      </c>
      <c r="H680" s="39">
        <f>G680/G682</f>
        <v>4.7660816189724058E-2</v>
      </c>
    </row>
    <row r="681" spans="1:8" ht="16.5" customHeight="1" thickBot="1" x14ac:dyDescent="0.25">
      <c r="A681" s="40" t="s">
        <v>29</v>
      </c>
      <c r="B681" s="41">
        <v>217.46</v>
      </c>
      <c r="C681" s="136">
        <f>B681/B682</f>
        <v>2.9015259763696282E-3</v>
      </c>
      <c r="D681" s="42">
        <v>178.13</v>
      </c>
      <c r="E681" s="43">
        <f>D681/D682</f>
        <v>2.1025558098552066E-2</v>
      </c>
      <c r="F681" s="61">
        <f>-35-557.25</f>
        <v>-592.25</v>
      </c>
      <c r="G681" s="58">
        <f>B681+D681</f>
        <v>395.59000000000003</v>
      </c>
      <c r="H681" s="45">
        <f>G681/G682</f>
        <v>4.7422141089470925E-3</v>
      </c>
    </row>
    <row r="682" spans="1:8" ht="16.5" customHeight="1" thickBot="1" x14ac:dyDescent="0.25">
      <c r="A682" s="46" t="s">
        <v>24</v>
      </c>
      <c r="B682" s="47">
        <f>SUM(B677:B681)</f>
        <v>74946.770000000019</v>
      </c>
      <c r="C682" s="137">
        <f>B682/B682</f>
        <v>1</v>
      </c>
      <c r="D682" s="47">
        <f>SUM(D677:D681)</f>
        <v>8472.07</v>
      </c>
      <c r="E682" s="48">
        <f>D682/D682</f>
        <v>1</v>
      </c>
      <c r="F682" s="62">
        <f>SUM(F677:F681)</f>
        <v>-5667.16</v>
      </c>
      <c r="G682" s="63">
        <f>SUM(G677:G681)</f>
        <v>83418.84</v>
      </c>
      <c r="H682" s="50">
        <f>G682/G682</f>
        <v>1</v>
      </c>
    </row>
    <row r="683" spans="1:8" ht="16.5" customHeight="1" x14ac:dyDescent="0.2"/>
    <row r="684" spans="1:8" ht="16.5" customHeight="1" x14ac:dyDescent="0.2"/>
    <row r="685" spans="1:8" ht="16.5" customHeight="1" thickBot="1" x14ac:dyDescent="0.25">
      <c r="A685" s="22" t="s">
        <v>46</v>
      </c>
    </row>
    <row r="686" spans="1:8" ht="16.5" customHeight="1" thickBot="1" x14ac:dyDescent="0.25">
      <c r="A686" s="23" t="s">
        <v>19</v>
      </c>
      <c r="B686" s="24" t="s">
        <v>20</v>
      </c>
      <c r="C686" s="133" t="s">
        <v>21</v>
      </c>
      <c r="D686" s="25" t="s">
        <v>22</v>
      </c>
      <c r="E686" s="26" t="s">
        <v>21</v>
      </c>
      <c r="F686" s="25" t="s">
        <v>23</v>
      </c>
      <c r="G686" s="26" t="s">
        <v>24</v>
      </c>
      <c r="H686" s="25" t="s">
        <v>21</v>
      </c>
    </row>
    <row r="687" spans="1:8" ht="16.5" customHeight="1" x14ac:dyDescent="0.2">
      <c r="A687" s="28" t="s">
        <v>25</v>
      </c>
      <c r="B687" s="29">
        <v>47321.120000000003</v>
      </c>
      <c r="C687" s="134">
        <f>B687/B692</f>
        <v>0.71938691199835081</v>
      </c>
      <c r="D687" s="31">
        <v>389.07</v>
      </c>
      <c r="E687" s="30">
        <f>D687/D692</f>
        <v>6.1119463125203242E-2</v>
      </c>
      <c r="F687" s="57">
        <v>-202.32</v>
      </c>
      <c r="G687" s="58">
        <f>B687+D687</f>
        <v>47710.19</v>
      </c>
      <c r="H687" s="34">
        <f>G687/G692</f>
        <v>0.66130495698138991</v>
      </c>
    </row>
    <row r="688" spans="1:8" ht="16.5" customHeight="1" x14ac:dyDescent="0.2">
      <c r="A688" s="35" t="s">
        <v>26</v>
      </c>
      <c r="B688" s="36">
        <v>13712.51</v>
      </c>
      <c r="C688" s="135">
        <f>B688/B692</f>
        <v>0.20846083576733823</v>
      </c>
      <c r="D688" s="29">
        <v>3832.19</v>
      </c>
      <c r="E688" s="37">
        <f>D688/D692</f>
        <v>0.60200322665271699</v>
      </c>
      <c r="F688" s="59">
        <v>-1291.97</v>
      </c>
      <c r="G688" s="58">
        <f>B688+D688</f>
        <v>17544.7</v>
      </c>
      <c r="H688" s="39">
        <f>G688/G692</f>
        <v>0.24318488521532597</v>
      </c>
    </row>
    <row r="689" spans="1:8" ht="16.5" customHeight="1" x14ac:dyDescent="0.2">
      <c r="A689" s="35" t="s">
        <v>27</v>
      </c>
      <c r="B689" s="36">
        <v>4071.14</v>
      </c>
      <c r="C689" s="135">
        <f>B689/B692</f>
        <v>6.1890437777317307E-2</v>
      </c>
      <c r="D689" s="33">
        <v>2086.31</v>
      </c>
      <c r="E689" s="37">
        <f>D689/D692</f>
        <v>0.32774088753371572</v>
      </c>
      <c r="F689" s="60">
        <v>-1366.52</v>
      </c>
      <c r="G689" s="58">
        <f>B689+D689</f>
        <v>6157.45</v>
      </c>
      <c r="H689" s="39">
        <f>G689/G692</f>
        <v>8.5347641821695935E-2</v>
      </c>
    </row>
    <row r="690" spans="1:8" ht="16.5" customHeight="1" x14ac:dyDescent="0.2">
      <c r="A690" s="35" t="s">
        <v>28</v>
      </c>
      <c r="B690" s="36">
        <v>675.02</v>
      </c>
      <c r="C690" s="135">
        <f>B690/B692</f>
        <v>1.0261814456993552E-2</v>
      </c>
      <c r="D690" s="33">
        <v>58.16</v>
      </c>
      <c r="E690" s="37">
        <f>D690/D692</f>
        <v>9.1364226883641E-3</v>
      </c>
      <c r="F690" s="60">
        <v>-179</v>
      </c>
      <c r="G690" s="58">
        <f>B690+D690</f>
        <v>733.18</v>
      </c>
      <c r="H690" s="39">
        <f>G690/G692</f>
        <v>1.0162515981588323E-2</v>
      </c>
    </row>
    <row r="691" spans="1:8" ht="16.5" customHeight="1" thickBot="1" x14ac:dyDescent="0.25">
      <c r="A691" s="40" t="s">
        <v>29</v>
      </c>
      <c r="B691" s="41">
        <v>0</v>
      </c>
      <c r="C691" s="136">
        <f>B691/B692</f>
        <v>0</v>
      </c>
      <c r="D691" s="42">
        <v>0</v>
      </c>
      <c r="E691" s="43">
        <f>D691/D692</f>
        <v>0</v>
      </c>
      <c r="F691" s="61"/>
      <c r="G691" s="58">
        <f>B691+D691</f>
        <v>0</v>
      </c>
      <c r="H691" s="64">
        <f>G691/G692</f>
        <v>0</v>
      </c>
    </row>
    <row r="692" spans="1:8" ht="16.5" customHeight="1" thickBot="1" x14ac:dyDescent="0.25">
      <c r="A692" s="46" t="s">
        <v>24</v>
      </c>
      <c r="B692" s="47">
        <f>SUM(B687:B691)</f>
        <v>65779.790000000008</v>
      </c>
      <c r="C692" s="137">
        <f>B692/B692</f>
        <v>1</v>
      </c>
      <c r="D692" s="47">
        <f>SUM(D687:D691)</f>
        <v>6365.73</v>
      </c>
      <c r="E692" s="48">
        <f>D692/D692</f>
        <v>1</v>
      </c>
      <c r="F692" s="62">
        <f>SUM(F687:F691)</f>
        <v>-3039.81</v>
      </c>
      <c r="G692" s="63">
        <f>SUM(G687:G691)</f>
        <v>72145.51999999999</v>
      </c>
      <c r="H692" s="50">
        <f>G692/G692</f>
        <v>1</v>
      </c>
    </row>
    <row r="693" spans="1:8" ht="16.5" customHeight="1" x14ac:dyDescent="0.2"/>
    <row r="694" spans="1:8" ht="16.5" customHeight="1" x14ac:dyDescent="0.2"/>
    <row r="695" spans="1:8" ht="16.5" customHeight="1" thickBot="1" x14ac:dyDescent="0.25">
      <c r="A695" s="22" t="s">
        <v>47</v>
      </c>
    </row>
    <row r="696" spans="1:8" ht="16.5" customHeight="1" thickBot="1" x14ac:dyDescent="0.25">
      <c r="A696" s="23" t="s">
        <v>19</v>
      </c>
      <c r="B696" s="24" t="s">
        <v>20</v>
      </c>
      <c r="C696" s="133" t="s">
        <v>21</v>
      </c>
      <c r="D696" s="25" t="s">
        <v>22</v>
      </c>
      <c r="E696" s="26" t="s">
        <v>21</v>
      </c>
      <c r="F696" s="25" t="s">
        <v>23</v>
      </c>
      <c r="G696" s="26" t="s">
        <v>24</v>
      </c>
      <c r="H696" s="25" t="s">
        <v>21</v>
      </c>
    </row>
    <row r="697" spans="1:8" ht="16.5" customHeight="1" x14ac:dyDescent="0.2">
      <c r="A697" s="28" t="s">
        <v>25</v>
      </c>
      <c r="B697" s="29">
        <v>31199.58</v>
      </c>
      <c r="C697" s="134">
        <f>B697/B702</f>
        <v>0.76342302940612961</v>
      </c>
      <c r="D697" s="31">
        <v>3007.14</v>
      </c>
      <c r="E697" s="30">
        <f>D697/D702</f>
        <v>0.60081156733191754</v>
      </c>
      <c r="F697" s="57">
        <v>-312.32</v>
      </c>
      <c r="G697" s="58">
        <f>B697+D697</f>
        <v>34206.720000000001</v>
      </c>
      <c r="H697" s="34">
        <f>G697/G702</f>
        <v>0.74568080580487861</v>
      </c>
    </row>
    <row r="698" spans="1:8" ht="16.5" customHeight="1" x14ac:dyDescent="0.2">
      <c r="A698" s="35" t="s">
        <v>26</v>
      </c>
      <c r="B698" s="36">
        <v>7139.78</v>
      </c>
      <c r="C698" s="135">
        <f>B698/B702</f>
        <v>0.1747033927025074</v>
      </c>
      <c r="D698" s="29">
        <v>1641.59</v>
      </c>
      <c r="E698" s="37">
        <f>D698/D702</f>
        <v>0.32798149099024404</v>
      </c>
      <c r="F698" s="59">
        <f>-5.6</f>
        <v>-5.6</v>
      </c>
      <c r="G698" s="58">
        <f>B698+D698</f>
        <v>8781.369999999999</v>
      </c>
      <c r="H698" s="39">
        <f>G698/G702</f>
        <v>0.19142727094766132</v>
      </c>
    </row>
    <row r="699" spans="1:8" ht="16.5" customHeight="1" x14ac:dyDescent="0.2">
      <c r="A699" s="35" t="s">
        <v>27</v>
      </c>
      <c r="B699" s="36">
        <v>2171.23</v>
      </c>
      <c r="C699" s="135">
        <f>B699/B702</f>
        <v>5.3127862110242216E-2</v>
      </c>
      <c r="D699" s="33">
        <v>356.4</v>
      </c>
      <c r="E699" s="37">
        <f>D699/D702</f>
        <v>7.1206941677838545E-2</v>
      </c>
      <c r="F699" s="60">
        <f>-87.71</f>
        <v>-87.71</v>
      </c>
      <c r="G699" s="58">
        <f>B699+D699</f>
        <v>2527.63</v>
      </c>
      <c r="H699" s="39">
        <f>G699/G702</f>
        <v>5.5100435679789971E-2</v>
      </c>
    </row>
    <row r="700" spans="1:8" ht="16.5" customHeight="1" x14ac:dyDescent="0.2">
      <c r="A700" s="35" t="s">
        <v>28</v>
      </c>
      <c r="B700" s="36">
        <v>357.42</v>
      </c>
      <c r="C700" s="135">
        <f>B700/B702</f>
        <v>8.7457157811207352E-3</v>
      </c>
      <c r="D700" s="33">
        <v>0</v>
      </c>
      <c r="E700" s="37">
        <f>D700/D702</f>
        <v>0</v>
      </c>
      <c r="F700" s="60"/>
      <c r="G700" s="58">
        <f>B700+D700</f>
        <v>357.42</v>
      </c>
      <c r="H700" s="39">
        <f>G700/G702</f>
        <v>7.7914875676703202E-3</v>
      </c>
    </row>
    <row r="701" spans="1:8" ht="16.5" customHeight="1" thickBot="1" x14ac:dyDescent="0.25">
      <c r="A701" s="40" t="s">
        <v>29</v>
      </c>
      <c r="B701" s="41">
        <v>0</v>
      </c>
      <c r="C701" s="136">
        <f>B701/B702</f>
        <v>0</v>
      </c>
      <c r="D701" s="42">
        <v>0</v>
      </c>
      <c r="E701" s="43">
        <f>D701/D702</f>
        <v>0</v>
      </c>
      <c r="F701" s="61"/>
      <c r="G701" s="58">
        <f>B701+D701</f>
        <v>0</v>
      </c>
      <c r="H701" s="64">
        <f>G701/G702</f>
        <v>0</v>
      </c>
    </row>
    <row r="702" spans="1:8" ht="16.5" customHeight="1" thickBot="1" x14ac:dyDescent="0.25">
      <c r="A702" s="46" t="s">
        <v>24</v>
      </c>
      <c r="B702" s="47">
        <f>SUM(B697:B701)</f>
        <v>40868.01</v>
      </c>
      <c r="C702" s="137">
        <f>B702/B702</f>
        <v>1</v>
      </c>
      <c r="D702" s="47">
        <f>SUM(D697:D701)</f>
        <v>5005.1299999999992</v>
      </c>
      <c r="E702" s="48">
        <f>D702/D702</f>
        <v>1</v>
      </c>
      <c r="F702" s="62">
        <f>SUM(F697:F701)</f>
        <v>-405.63</v>
      </c>
      <c r="G702" s="63">
        <f>SUM(G697:G701)</f>
        <v>45873.139999999992</v>
      </c>
      <c r="H702" s="50">
        <f>G702/G702</f>
        <v>1</v>
      </c>
    </row>
    <row r="703" spans="1:8" ht="16.5" customHeight="1" x14ac:dyDescent="0.2">
      <c r="A703" s="17"/>
      <c r="B703" s="51"/>
      <c r="C703" s="138"/>
      <c r="D703" s="51"/>
      <c r="E703" s="52"/>
      <c r="F703" s="53"/>
      <c r="G703" s="51"/>
      <c r="H703" s="52"/>
    </row>
    <row r="704" spans="1:8" ht="16.5" customHeight="1" x14ac:dyDescent="0.2"/>
    <row r="705" spans="1:8" ht="16.5" customHeight="1" thickBot="1" x14ac:dyDescent="0.25">
      <c r="A705" s="22" t="s">
        <v>48</v>
      </c>
    </row>
    <row r="706" spans="1:8" ht="16.5" customHeight="1" thickBot="1" x14ac:dyDescent="0.25">
      <c r="A706" s="23" t="s">
        <v>19</v>
      </c>
      <c r="B706" s="24" t="s">
        <v>20</v>
      </c>
      <c r="C706" s="133" t="s">
        <v>21</v>
      </c>
      <c r="D706" s="25" t="s">
        <v>22</v>
      </c>
      <c r="E706" s="26" t="s">
        <v>21</v>
      </c>
      <c r="F706" s="25" t="s">
        <v>23</v>
      </c>
      <c r="G706" s="26" t="s">
        <v>24</v>
      </c>
      <c r="H706" s="25" t="s">
        <v>21</v>
      </c>
    </row>
    <row r="707" spans="1:8" ht="16.5" customHeight="1" x14ac:dyDescent="0.2">
      <c r="A707" s="28" t="s">
        <v>25</v>
      </c>
      <c r="B707" s="29">
        <v>24901.79</v>
      </c>
      <c r="C707" s="134">
        <f>B707/B712</f>
        <v>0.90336797808855274</v>
      </c>
      <c r="D707" s="31">
        <v>1706</v>
      </c>
      <c r="E707" s="30">
        <f>D707/D712</f>
        <v>0.83308916886414686</v>
      </c>
      <c r="F707" s="33">
        <v>-20</v>
      </c>
      <c r="G707" s="58">
        <f>B707+D707</f>
        <v>26607.79</v>
      </c>
      <c r="H707" s="34">
        <f>G707/G712</f>
        <v>0.89850810277814364</v>
      </c>
    </row>
    <row r="708" spans="1:8" ht="16.5" customHeight="1" x14ac:dyDescent="0.2">
      <c r="A708" s="35" t="s">
        <v>26</v>
      </c>
      <c r="B708" s="36">
        <v>2271</v>
      </c>
      <c r="C708" s="135">
        <f>B708/B712</f>
        <v>8.2385590684007179E-2</v>
      </c>
      <c r="D708" s="29">
        <v>341.8</v>
      </c>
      <c r="E708" s="37">
        <f>D708/D712</f>
        <v>0.16691083113585312</v>
      </c>
      <c r="F708" s="60">
        <v>-85</v>
      </c>
      <c r="G708" s="58">
        <f>B708+D708</f>
        <v>2612.8000000000002</v>
      </c>
      <c r="H708" s="39">
        <f>G708/G712</f>
        <v>8.8230626103811466E-2</v>
      </c>
    </row>
    <row r="709" spans="1:8" ht="16.5" customHeight="1" x14ac:dyDescent="0.2">
      <c r="A709" s="35" t="s">
        <v>27</v>
      </c>
      <c r="B709" s="36">
        <v>392.71</v>
      </c>
      <c r="C709" s="135">
        <f>B709/B712</f>
        <v>1.4246431227440097E-2</v>
      </c>
      <c r="D709" s="33">
        <v>0</v>
      </c>
      <c r="E709" s="37">
        <f>D709/D712</f>
        <v>0</v>
      </c>
      <c r="F709" s="60"/>
      <c r="G709" s="58">
        <f>B709+D709</f>
        <v>392.71</v>
      </c>
      <c r="H709" s="39">
        <f>G709/G712</f>
        <v>1.3261271118044931E-2</v>
      </c>
    </row>
    <row r="710" spans="1:8" ht="16.5" customHeight="1" x14ac:dyDescent="0.2">
      <c r="A710" s="35" t="s">
        <v>28</v>
      </c>
      <c r="B710" s="36">
        <v>0</v>
      </c>
      <c r="C710" s="135">
        <f>B710/B712</f>
        <v>0</v>
      </c>
      <c r="D710" s="33">
        <v>0</v>
      </c>
      <c r="E710" s="37">
        <f>D710/D712</f>
        <v>0</v>
      </c>
      <c r="F710" s="60"/>
      <c r="G710" s="58">
        <f>B710+D710</f>
        <v>0</v>
      </c>
      <c r="H710" s="39">
        <f>G710/G712</f>
        <v>0</v>
      </c>
    </row>
    <row r="711" spans="1:8" ht="16.5" customHeight="1" thickBot="1" x14ac:dyDescent="0.25">
      <c r="A711" s="40" t="s">
        <v>29</v>
      </c>
      <c r="B711" s="41">
        <v>0</v>
      </c>
      <c r="C711" s="136">
        <f>B711/B712</f>
        <v>0</v>
      </c>
      <c r="D711" s="42">
        <v>0</v>
      </c>
      <c r="E711" s="43">
        <f>D711/D712</f>
        <v>0</v>
      </c>
      <c r="F711" s="61"/>
      <c r="G711" s="58">
        <f>B711+D711</f>
        <v>0</v>
      </c>
      <c r="H711" s="64">
        <f>G711/G712</f>
        <v>0</v>
      </c>
    </row>
    <row r="712" spans="1:8" ht="13.5" thickBot="1" x14ac:dyDescent="0.25">
      <c r="A712" s="46" t="s">
        <v>24</v>
      </c>
      <c r="B712" s="47">
        <f>SUM(B707:B711)</f>
        <v>27565.5</v>
      </c>
      <c r="C712" s="137">
        <f>B712/B712</f>
        <v>1</v>
      </c>
      <c r="D712" s="47">
        <f>SUM(D707:D711)</f>
        <v>2047.8</v>
      </c>
      <c r="E712" s="48">
        <f>D712/D712</f>
        <v>1</v>
      </c>
      <c r="F712" s="62">
        <f>SUM(F707:F711)</f>
        <v>-105</v>
      </c>
      <c r="G712" s="63">
        <f>SUM(G707:G711)</f>
        <v>29613.3</v>
      </c>
      <c r="H712" s="50">
        <f>G712/G712</f>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BT35"/>
  <sheetViews>
    <sheetView showGridLines="0" zoomScaleNormal="100" workbookViewId="0">
      <pane xSplit="1" topLeftCell="K1" activePane="topRight" state="frozen"/>
      <selection activeCell="BO18" sqref="BO18"/>
      <selection pane="topRight" activeCell="A3" sqref="A3"/>
    </sheetView>
  </sheetViews>
  <sheetFormatPr defaultRowHeight="12" customHeight="1" x14ac:dyDescent="0.2"/>
  <cols>
    <col min="1" max="1" width="21.7109375" style="467" bestFit="1" customWidth="1"/>
    <col min="2" max="2" width="6.28515625" style="467" bestFit="1" customWidth="1"/>
    <col min="3" max="3" width="11.140625" style="468" bestFit="1" customWidth="1"/>
    <col min="4" max="4" width="9.7109375" style="468" bestFit="1" customWidth="1"/>
    <col min="5" max="5" width="10.7109375" style="469" bestFit="1" customWidth="1"/>
    <col min="6" max="6" width="10.5703125" style="467" bestFit="1" customWidth="1"/>
    <col min="7" max="9" width="9.7109375" style="467" bestFit="1" customWidth="1"/>
    <col min="10" max="12" width="10.28515625" style="467" bestFit="1" customWidth="1"/>
    <col min="13" max="14" width="10.28515625" style="469" bestFit="1" customWidth="1"/>
    <col min="15" max="15" width="11.140625" style="469" bestFit="1" customWidth="1"/>
    <col min="16" max="16" width="10.28515625" style="467" bestFit="1" customWidth="1"/>
    <col min="17" max="17" width="10.7109375" style="467" bestFit="1" customWidth="1"/>
    <col min="18" max="18" width="10.5703125" style="467" bestFit="1" customWidth="1"/>
    <col min="19" max="20" width="10.5703125" style="467" customWidth="1"/>
    <col min="21" max="21" width="10.5703125" style="469" customWidth="1"/>
    <col min="22" max="22" width="10.5703125" style="467" customWidth="1"/>
    <col min="23" max="23" width="10.28515625" style="467" bestFit="1" customWidth="1"/>
    <col min="24" max="24" width="15.42578125" style="467" bestFit="1" customWidth="1"/>
    <col min="25" max="25" width="15.140625" style="467" customWidth="1"/>
    <col min="26" max="26" width="9.140625" style="467"/>
    <col min="27" max="27" width="10.140625" style="467" bestFit="1" customWidth="1"/>
    <col min="28" max="16384" width="9.140625" style="467"/>
  </cols>
  <sheetData>
    <row r="2" spans="1:72" ht="12" customHeight="1" thickBot="1" x14ac:dyDescent="0.25"/>
    <row r="3" spans="1:72" ht="12" customHeight="1" thickBot="1" x14ac:dyDescent="0.25">
      <c r="A3" s="559" t="s">
        <v>0</v>
      </c>
      <c r="B3" s="560" t="s">
        <v>239</v>
      </c>
      <c r="C3" s="565">
        <v>42249</v>
      </c>
      <c r="D3" s="565">
        <v>42279</v>
      </c>
      <c r="E3" s="564">
        <v>42310</v>
      </c>
      <c r="F3" s="565">
        <v>42340</v>
      </c>
      <c r="G3" s="565">
        <v>42370</v>
      </c>
      <c r="H3" s="654">
        <v>42401</v>
      </c>
      <c r="I3" s="666">
        <v>42445</v>
      </c>
      <c r="J3" s="666">
        <v>42476</v>
      </c>
      <c r="K3" s="666">
        <v>42506</v>
      </c>
      <c r="L3" s="757">
        <v>42537</v>
      </c>
      <c r="M3" s="757">
        <v>42567</v>
      </c>
      <c r="N3" s="757">
        <v>42598</v>
      </c>
      <c r="O3" s="757">
        <v>42629</v>
      </c>
      <c r="P3" s="757">
        <v>42659</v>
      </c>
      <c r="Q3" s="757">
        <v>42690</v>
      </c>
      <c r="R3" s="739">
        <v>42720</v>
      </c>
      <c r="S3" s="666">
        <v>42736</v>
      </c>
      <c r="T3" s="666">
        <v>42767</v>
      </c>
      <c r="U3" s="666">
        <v>42795</v>
      </c>
      <c r="V3" s="824">
        <v>42826</v>
      </c>
      <c r="W3" s="666" t="s">
        <v>240</v>
      </c>
    </row>
    <row r="4" spans="1:72" ht="12" customHeight="1" x14ac:dyDescent="0.2">
      <c r="A4" s="588" t="s">
        <v>1</v>
      </c>
      <c r="B4" s="613"/>
      <c r="C4" s="470">
        <v>168301.99</v>
      </c>
      <c r="D4" s="618">
        <v>195682.23999997199</v>
      </c>
      <c r="E4" s="490">
        <v>243036.24000225199</v>
      </c>
      <c r="F4" s="618">
        <v>301156.90000000002</v>
      </c>
      <c r="G4" s="470">
        <v>383835.54</v>
      </c>
      <c r="H4" s="602">
        <v>448765.45</v>
      </c>
      <c r="I4" s="490">
        <v>552282.54054832098</v>
      </c>
      <c r="J4" s="490">
        <v>480202.98</v>
      </c>
      <c r="K4" s="655">
        <v>598967.10415528703</v>
      </c>
      <c r="L4" s="758">
        <v>585500.53103006794</v>
      </c>
      <c r="M4" s="758">
        <v>596446.44044673501</v>
      </c>
      <c r="N4" s="758">
        <v>564777.34044134605</v>
      </c>
      <c r="O4" s="758">
        <v>565915.83035458997</v>
      </c>
      <c r="P4" s="758">
        <v>648128.74056554795</v>
      </c>
      <c r="Q4" s="758">
        <v>622406.190596728</v>
      </c>
      <c r="R4" s="740">
        <v>595031.99072314403</v>
      </c>
      <c r="S4" s="804">
        <v>671272.91061978193</v>
      </c>
      <c r="T4" s="740">
        <v>718347.69065145438</v>
      </c>
      <c r="U4" s="740">
        <v>745736.170661935</v>
      </c>
      <c r="V4" s="791">
        <v>826831.45075906476</v>
      </c>
      <c r="W4" s="740">
        <f>AVERAGE(K4:V4)</f>
        <v>644946.86591714004</v>
      </c>
      <c r="Y4" s="471"/>
      <c r="BT4" s="467">
        <v>5974908.2901375443</v>
      </c>
    </row>
    <row r="5" spans="1:72" ht="12" customHeight="1" x14ac:dyDescent="0.2">
      <c r="A5" s="589" t="s">
        <v>2</v>
      </c>
      <c r="B5" s="614"/>
      <c r="C5" s="472">
        <v>7918</v>
      </c>
      <c r="D5" s="619">
        <v>10017</v>
      </c>
      <c r="E5" s="491">
        <v>8824</v>
      </c>
      <c r="F5" s="619">
        <v>10109</v>
      </c>
      <c r="G5" s="472">
        <v>14311.51</v>
      </c>
      <c r="H5" s="492">
        <v>10962</v>
      </c>
      <c r="I5" s="491">
        <v>12869</v>
      </c>
      <c r="J5" s="491">
        <v>15195</v>
      </c>
      <c r="K5" s="656">
        <v>20504</v>
      </c>
      <c r="L5" s="759">
        <v>21520</v>
      </c>
      <c r="M5" s="759">
        <v>24451</v>
      </c>
      <c r="N5" s="759">
        <v>28984.19000244141</v>
      </c>
      <c r="O5" s="759">
        <v>28143</v>
      </c>
      <c r="P5" s="759">
        <v>23764</v>
      </c>
      <c r="Q5" s="759">
        <v>29303.190002441399</v>
      </c>
      <c r="R5" s="741">
        <v>22204.810001373298</v>
      </c>
      <c r="S5" s="741">
        <v>30520.190002441399</v>
      </c>
      <c r="T5" s="741">
        <v>26633</v>
      </c>
      <c r="U5" s="741">
        <v>22863</v>
      </c>
      <c r="V5" s="792">
        <v>30128.360000610402</v>
      </c>
      <c r="W5" s="741">
        <f t="shared" ref="W5:W34" si="0">AVERAGE(K5:V5)</f>
        <v>25751.561667442325</v>
      </c>
      <c r="Y5" s="471"/>
      <c r="BT5" s="467">
        <v>377275.78999996191</v>
      </c>
    </row>
    <row r="6" spans="1:72" ht="12" customHeight="1" x14ac:dyDescent="0.2">
      <c r="A6" s="589" t="s">
        <v>3</v>
      </c>
      <c r="B6" s="614"/>
      <c r="C6" s="472">
        <v>829.63</v>
      </c>
      <c r="D6" s="619">
        <v>33491.419953346303</v>
      </c>
      <c r="E6" s="491">
        <v>112461.27042615401</v>
      </c>
      <c r="F6" s="619">
        <v>90789.94</v>
      </c>
      <c r="G6" s="472">
        <v>112103.88</v>
      </c>
      <c r="H6" s="492">
        <v>142136.21</v>
      </c>
      <c r="I6" s="491">
        <v>200766.36057877948</v>
      </c>
      <c r="J6" s="491">
        <v>263407.90999999997</v>
      </c>
      <c r="K6" s="656">
        <v>285240.00040622952</v>
      </c>
      <c r="L6" s="759">
        <v>335411.53906211408</v>
      </c>
      <c r="M6" s="759">
        <v>252471.3491877768</v>
      </c>
      <c r="N6" s="759">
        <v>276867.74951663252</v>
      </c>
      <c r="O6" s="759">
        <v>270983.72999577958</v>
      </c>
      <c r="P6" s="759">
        <v>295797.84044725634</v>
      </c>
      <c r="Q6" s="759">
        <v>304764.362239176</v>
      </c>
      <c r="R6" s="741">
        <v>262266.6694954898</v>
      </c>
      <c r="S6" s="741">
        <v>285357.60918021202</v>
      </c>
      <c r="T6" s="741">
        <v>243603.55849990013</v>
      </c>
      <c r="U6" s="741">
        <v>401642.82789333491</v>
      </c>
      <c r="V6" s="792">
        <v>324575.51855049242</v>
      </c>
      <c r="W6" s="741">
        <f t="shared" si="0"/>
        <v>294915.22953953285</v>
      </c>
      <c r="X6" s="473"/>
      <c r="Y6" s="471"/>
      <c r="BT6" s="467">
        <v>1723859.1027311464</v>
      </c>
    </row>
    <row r="7" spans="1:72" ht="12" customHeight="1" x14ac:dyDescent="0.2">
      <c r="A7" s="589" t="s">
        <v>4</v>
      </c>
      <c r="B7" s="614"/>
      <c r="C7" s="472">
        <v>31835</v>
      </c>
      <c r="D7" s="619">
        <v>36008.999999046297</v>
      </c>
      <c r="E7" s="491">
        <v>37771.490029811903</v>
      </c>
      <c r="F7" s="619">
        <v>55158.1</v>
      </c>
      <c r="G7" s="472">
        <v>87018.8</v>
      </c>
      <c r="H7" s="492">
        <v>99192.39</v>
      </c>
      <c r="I7" s="491">
        <v>132803.0800412297</v>
      </c>
      <c r="J7" s="491">
        <v>125135.41</v>
      </c>
      <c r="K7" s="656">
        <v>142819.3101606369</v>
      </c>
      <c r="L7" s="759">
        <v>143125.8302742932</v>
      </c>
      <c r="M7" s="759">
        <v>151955.53993850952</v>
      </c>
      <c r="N7" s="759">
        <v>166256.52987909268</v>
      </c>
      <c r="O7" s="759">
        <v>135505.9999876022</v>
      </c>
      <c r="P7" s="759">
        <v>153286.7901343703</v>
      </c>
      <c r="Q7" s="759">
        <v>148250.6100628376</v>
      </c>
      <c r="R7" s="741">
        <v>140039.3199602961</v>
      </c>
      <c r="S7" s="741">
        <v>170483.69999492192</v>
      </c>
      <c r="T7" s="741">
        <v>180239.9400062749</v>
      </c>
      <c r="U7" s="741">
        <v>179577.47007679939</v>
      </c>
      <c r="V7" s="792">
        <v>204212.54000617939</v>
      </c>
      <c r="W7" s="741">
        <f t="shared" si="0"/>
        <v>159646.13170681786</v>
      </c>
      <c r="BT7" s="467">
        <v>1886936.4053251962</v>
      </c>
    </row>
    <row r="8" spans="1:72" ht="12" customHeight="1" x14ac:dyDescent="0.2">
      <c r="A8" s="589" t="s">
        <v>5</v>
      </c>
      <c r="B8" s="615"/>
      <c r="C8" s="472">
        <v>0</v>
      </c>
      <c r="D8" s="619">
        <v>0</v>
      </c>
      <c r="E8" s="491">
        <v>1612.1599960327101</v>
      </c>
      <c r="F8" s="619">
        <v>5575.5</v>
      </c>
      <c r="G8" s="472">
        <v>14894.56</v>
      </c>
      <c r="H8" s="492">
        <v>11727.99</v>
      </c>
      <c r="I8" s="491">
        <v>7123.3500047922143</v>
      </c>
      <c r="J8" s="491">
        <v>8891.65</v>
      </c>
      <c r="K8" s="656">
        <v>8706.01002037525</v>
      </c>
      <c r="L8" s="759">
        <v>16370.81999364498</v>
      </c>
      <c r="M8" s="759">
        <v>5824.0600042343094</v>
      </c>
      <c r="N8" s="759">
        <v>84204.109999304594</v>
      </c>
      <c r="O8" s="759">
        <v>26083.300027772748</v>
      </c>
      <c r="P8" s="759">
        <v>18912.90999925138</v>
      </c>
      <c r="Q8" s="759">
        <v>67442.740959525108</v>
      </c>
      <c r="R8" s="741">
        <v>33494.260106876442</v>
      </c>
      <c r="S8" s="741">
        <v>43348.300137400671</v>
      </c>
      <c r="T8" s="741">
        <v>26227.649949550618</v>
      </c>
      <c r="U8" s="741">
        <v>35646.760092198834</v>
      </c>
      <c r="V8" s="792">
        <v>34380.039981126771</v>
      </c>
      <c r="W8" s="741">
        <f t="shared" si="0"/>
        <v>33386.746772605147</v>
      </c>
      <c r="AA8" s="471"/>
      <c r="BT8" s="467">
        <v>272134.43085956585</v>
      </c>
    </row>
    <row r="9" spans="1:72" ht="12" customHeight="1" x14ac:dyDescent="0.2">
      <c r="A9" s="589" t="s">
        <v>6</v>
      </c>
      <c r="B9" s="614"/>
      <c r="C9" s="472">
        <f t="shared" ref="C9:P9" si="1">SUM(C6:C7)-C8</f>
        <v>32664.63</v>
      </c>
      <c r="D9" s="619">
        <f t="shared" si="1"/>
        <v>69500.419952392607</v>
      </c>
      <c r="E9" s="491">
        <f t="shared" si="1"/>
        <v>148620.60045993319</v>
      </c>
      <c r="F9" s="619">
        <f t="shared" si="1"/>
        <v>140372.54</v>
      </c>
      <c r="G9" s="472">
        <f t="shared" si="1"/>
        <v>184228.12</v>
      </c>
      <c r="H9" s="492">
        <f t="shared" si="1"/>
        <v>229600.61</v>
      </c>
      <c r="I9" s="491">
        <f t="shared" si="1"/>
        <v>326446.09061521699</v>
      </c>
      <c r="J9" s="491">
        <f t="shared" si="1"/>
        <v>379651.66999999993</v>
      </c>
      <c r="K9" s="656">
        <f t="shared" si="1"/>
        <v>419353.30054649117</v>
      </c>
      <c r="L9" s="759">
        <f t="shared" si="1"/>
        <v>462166.54934276233</v>
      </c>
      <c r="M9" s="759">
        <f t="shared" si="1"/>
        <v>398602.829122052</v>
      </c>
      <c r="N9" s="759">
        <f t="shared" si="1"/>
        <v>358920.16939642065</v>
      </c>
      <c r="O9" s="759">
        <f t="shared" si="1"/>
        <v>380406.42995560908</v>
      </c>
      <c r="P9" s="759">
        <f t="shared" si="1"/>
        <v>430171.7205823753</v>
      </c>
      <c r="Q9" s="759">
        <f t="shared" ref="Q9:V9" si="2">SUM(Q6:Q7)-Q8</f>
        <v>385572.23134248849</v>
      </c>
      <c r="R9" s="741">
        <f t="shared" si="2"/>
        <v>368811.72934890946</v>
      </c>
      <c r="S9" s="741">
        <f t="shared" si="2"/>
        <v>412493.00903773325</v>
      </c>
      <c r="T9" s="741">
        <f t="shared" si="2"/>
        <v>397615.84855662438</v>
      </c>
      <c r="U9" s="741">
        <f t="shared" si="2"/>
        <v>545573.53787793545</v>
      </c>
      <c r="V9" s="792">
        <f t="shared" si="2"/>
        <v>494408.01857554505</v>
      </c>
      <c r="W9" s="741">
        <f t="shared" si="0"/>
        <v>421174.61447374552</v>
      </c>
      <c r="AA9" s="471"/>
    </row>
    <row r="10" spans="1:72" ht="12" customHeight="1" x14ac:dyDescent="0.2">
      <c r="A10" s="589" t="s">
        <v>7</v>
      </c>
      <c r="B10" s="614"/>
      <c r="C10" s="472">
        <v>514.37</v>
      </c>
      <c r="D10" s="619">
        <v>16156.470085143999</v>
      </c>
      <c r="E10" s="491">
        <v>75050.509714126601</v>
      </c>
      <c r="F10" s="619">
        <v>62293.88</v>
      </c>
      <c r="G10" s="472">
        <v>77291.7</v>
      </c>
      <c r="H10" s="492">
        <v>95967.29</v>
      </c>
      <c r="I10" s="491">
        <v>127601.18923318011</v>
      </c>
      <c r="J10" s="491">
        <v>160846.32</v>
      </c>
      <c r="K10" s="656">
        <v>187227.38</v>
      </c>
      <c r="L10" s="759">
        <v>205397.13971030479</v>
      </c>
      <c r="M10" s="759">
        <v>175460.56035050191</v>
      </c>
      <c r="N10" s="759">
        <v>195925.39010537401</v>
      </c>
      <c r="O10" s="759">
        <v>220728.41975135321</v>
      </c>
      <c r="P10" s="759">
        <v>237406.2101888709</v>
      </c>
      <c r="Q10" s="759">
        <v>290266.37928728526</v>
      </c>
      <c r="R10" s="741">
        <v>251669.78004069647</v>
      </c>
      <c r="S10" s="741">
        <v>218731.87022537159</v>
      </c>
      <c r="T10" s="741">
        <v>187471.49044250132</v>
      </c>
      <c r="U10" s="741">
        <v>289267.55062718107</v>
      </c>
      <c r="V10" s="792">
        <v>235015.6304689165</v>
      </c>
      <c r="W10" s="741">
        <f t="shared" si="0"/>
        <v>224547.31676652978</v>
      </c>
      <c r="BT10" s="467">
        <v>2105614.8973325035</v>
      </c>
    </row>
    <row r="11" spans="1:72" ht="12" customHeight="1" x14ac:dyDescent="0.2">
      <c r="A11" s="589" t="s">
        <v>8</v>
      </c>
      <c r="B11" s="614"/>
      <c r="C11" s="472">
        <v>0</v>
      </c>
      <c r="D11" s="619">
        <v>974.02999877929699</v>
      </c>
      <c r="E11" s="491">
        <v>6104</v>
      </c>
      <c r="F11" s="619">
        <v>11438.41</v>
      </c>
      <c r="G11" s="472">
        <v>5989.76</v>
      </c>
      <c r="H11" s="492">
        <v>9031.26</v>
      </c>
      <c r="I11" s="491">
        <v>15759.050017699599</v>
      </c>
      <c r="J11" s="491">
        <v>6965.34</v>
      </c>
      <c r="K11" s="656">
        <v>14476.31</v>
      </c>
      <c r="L11" s="759">
        <v>22978.85</v>
      </c>
      <c r="M11" s="759">
        <v>5666.8100156784049</v>
      </c>
      <c r="N11" s="759">
        <v>11672.430011749271</v>
      </c>
      <c r="O11" s="759">
        <v>6374.9899917244875</v>
      </c>
      <c r="P11" s="759">
        <v>5094.5799875259409</v>
      </c>
      <c r="Q11" s="759">
        <v>19824.449983457092</v>
      </c>
      <c r="R11" s="741">
        <v>13955.980008065699</v>
      </c>
      <c r="S11" s="741">
        <v>10406.3100125771</v>
      </c>
      <c r="T11" s="741">
        <v>10045.24005761556</v>
      </c>
      <c r="U11" s="741">
        <v>12864.90001549199</v>
      </c>
      <c r="V11" s="792">
        <v>11971.27001639083</v>
      </c>
      <c r="W11" s="741">
        <f t="shared" si="0"/>
        <v>12111.010008356365</v>
      </c>
      <c r="X11" s="471"/>
      <c r="Y11" s="474"/>
      <c r="BT11" s="467">
        <v>101118.09985459411</v>
      </c>
    </row>
    <row r="12" spans="1:72" ht="12" customHeight="1" x14ac:dyDescent="0.2">
      <c r="A12" s="589" t="s">
        <v>9</v>
      </c>
      <c r="B12" s="614"/>
      <c r="C12" s="475">
        <v>801</v>
      </c>
      <c r="D12" s="620">
        <v>1037</v>
      </c>
      <c r="E12" s="493">
        <v>1325</v>
      </c>
      <c r="F12" s="620">
        <v>1592</v>
      </c>
      <c r="G12" s="475">
        <v>2183</v>
      </c>
      <c r="H12" s="494">
        <v>2309</v>
      </c>
      <c r="I12" s="493">
        <v>2921</v>
      </c>
      <c r="J12" s="493">
        <v>2664</v>
      </c>
      <c r="K12" s="657">
        <v>3119</v>
      </c>
      <c r="L12" s="760">
        <v>2808</v>
      </c>
      <c r="M12" s="760">
        <v>2921</v>
      </c>
      <c r="N12" s="760">
        <v>2944</v>
      </c>
      <c r="O12" s="760">
        <v>2804</v>
      </c>
      <c r="P12" s="760">
        <v>3171</v>
      </c>
      <c r="Q12" s="760">
        <v>2955</v>
      </c>
      <c r="R12" s="742">
        <v>2747</v>
      </c>
      <c r="S12" s="742">
        <v>3144</v>
      </c>
      <c r="T12" s="742">
        <v>3241</v>
      </c>
      <c r="U12" s="742">
        <v>3355</v>
      </c>
      <c r="V12" s="793">
        <v>4040</v>
      </c>
      <c r="W12" s="742">
        <f t="shared" si="0"/>
        <v>3104.0833333333335</v>
      </c>
      <c r="X12" s="805"/>
      <c r="Y12" s="476"/>
      <c r="BT12" s="467">
        <v>28878</v>
      </c>
    </row>
    <row r="13" spans="1:72" ht="12" customHeight="1" x14ac:dyDescent="0.2">
      <c r="A13" s="484" t="s">
        <v>156</v>
      </c>
      <c r="B13" s="614"/>
      <c r="C13" s="477">
        <f t="shared" ref="C13:M13" si="3">(C4+C5)/C12</f>
        <v>219.99998751560548</v>
      </c>
      <c r="D13" s="621">
        <f t="shared" si="3"/>
        <v>198.35992285436066</v>
      </c>
      <c r="E13" s="496">
        <f t="shared" si="3"/>
        <v>190.08320000169962</v>
      </c>
      <c r="F13" s="621">
        <f t="shared" si="3"/>
        <v>195.51878140703519</v>
      </c>
      <c r="G13" s="477">
        <f t="shared" si="3"/>
        <v>182.38527256069628</v>
      </c>
      <c r="H13" s="495">
        <f t="shared" si="3"/>
        <v>199.10240363793849</v>
      </c>
      <c r="I13" s="496">
        <f t="shared" si="3"/>
        <v>193.4787882739887</v>
      </c>
      <c r="J13" s="496">
        <f t="shared" si="3"/>
        <v>185.9602027027027</v>
      </c>
      <c r="K13" s="658">
        <f t="shared" si="3"/>
        <v>198.61208853968805</v>
      </c>
      <c r="L13" s="761">
        <f t="shared" si="3"/>
        <v>216.17540278848574</v>
      </c>
      <c r="M13" s="761">
        <f t="shared" si="3"/>
        <v>212.56331408652346</v>
      </c>
      <c r="N13" s="761">
        <f t="shared" ref="N13" si="4">(N4+N5)/N12</f>
        <v>201.68530246052563</v>
      </c>
      <c r="O13" s="761">
        <f t="shared" ref="O13:P13" si="5">(O4+O5)/O12</f>
        <v>211.86120911361982</v>
      </c>
      <c r="P13" s="761">
        <f t="shared" si="5"/>
        <v>211.88670468796846</v>
      </c>
      <c r="Q13" s="761">
        <f t="shared" ref="Q13:V13" si="6">(Q4+Q5)/Q12</f>
        <v>220.54462964438898</v>
      </c>
      <c r="R13" s="743">
        <f t="shared" si="6"/>
        <v>224.69486739152433</v>
      </c>
      <c r="S13" s="743">
        <f t="shared" si="6"/>
        <v>223.21663505795908</v>
      </c>
      <c r="T13" s="743">
        <f t="shared" si="6"/>
        <v>229.86136706308375</v>
      </c>
      <c r="U13" s="743">
        <f t="shared" si="6"/>
        <v>229.09066189625486</v>
      </c>
      <c r="V13" s="794">
        <f t="shared" si="6"/>
        <v>212.11876503952354</v>
      </c>
      <c r="W13" s="743">
        <f t="shared" si="0"/>
        <v>216.02591231412885</v>
      </c>
    </row>
    <row r="14" spans="1:72" ht="12" customHeight="1" x14ac:dyDescent="0.2">
      <c r="A14" s="484" t="s">
        <v>157</v>
      </c>
      <c r="B14" s="614"/>
      <c r="C14" s="477">
        <f t="shared" ref="C14:M14" si="7">(C4+C5-C10-C11)/C12</f>
        <v>219.3578277153558</v>
      </c>
      <c r="D14" s="621">
        <f t="shared" si="7"/>
        <v>181.84063637034592</v>
      </c>
      <c r="E14" s="496">
        <f t="shared" si="7"/>
        <v>128.8345134250003</v>
      </c>
      <c r="F14" s="621">
        <f t="shared" si="7"/>
        <v>149.20452889447236</v>
      </c>
      <c r="G14" s="477">
        <f t="shared" si="7"/>
        <v>144.23526797984422</v>
      </c>
      <c r="H14" s="495">
        <f t="shared" si="7"/>
        <v>153.62880034647034</v>
      </c>
      <c r="I14" s="496">
        <f t="shared" si="7"/>
        <v>144.39962386081521</v>
      </c>
      <c r="J14" s="496">
        <f t="shared" si="7"/>
        <v>122.96783783783782</v>
      </c>
      <c r="K14" s="658">
        <f t="shared" si="7"/>
        <v>133.94274259547515</v>
      </c>
      <c r="L14" s="761">
        <f t="shared" si="7"/>
        <v>134.84492212242279</v>
      </c>
      <c r="M14" s="761">
        <f t="shared" si="7"/>
        <v>150.55462857944357</v>
      </c>
      <c r="N14" s="761">
        <f t="shared" ref="N14" si="8">(N4+N5-N10-N11)/N12</f>
        <v>131.16973856204623</v>
      </c>
      <c r="O14" s="761">
        <f t="shared" ref="O14:P14" si="9">(O4+O5-O10-O11)/O12</f>
        <v>130.86855228655929</v>
      </c>
      <c r="P14" s="761">
        <f t="shared" si="9"/>
        <v>135.41215717097165</v>
      </c>
      <c r="Q14" s="761">
        <f t="shared" ref="Q14:V14" si="10">(Q4+Q5-Q10-Q11)/Q12</f>
        <v>115.60695476427311</v>
      </c>
      <c r="R14" s="743">
        <f t="shared" si="10"/>
        <v>127.99819463988173</v>
      </c>
      <c r="S14" s="743">
        <f t="shared" si="10"/>
        <v>150.33553447336982</v>
      </c>
      <c r="T14" s="743">
        <f t="shared" si="10"/>
        <v>168.91822281744447</v>
      </c>
      <c r="U14" s="743">
        <f t="shared" si="10"/>
        <v>139.03628018457883</v>
      </c>
      <c r="V14" s="794">
        <f t="shared" si="10"/>
        <v>150.98339363226924</v>
      </c>
      <c r="W14" s="743">
        <f t="shared" si="0"/>
        <v>139.13927681906134</v>
      </c>
    </row>
    <row r="15" spans="1:72" ht="12" customHeight="1" x14ac:dyDescent="0.2">
      <c r="A15" s="589" t="s">
        <v>10</v>
      </c>
      <c r="B15" s="614"/>
      <c r="C15" s="477">
        <f t="shared" ref="C15:M15" si="11">(C6+C7)/C12</f>
        <v>40.779812734082398</v>
      </c>
      <c r="D15" s="621">
        <f t="shared" si="11"/>
        <v>67.020655691796151</v>
      </c>
      <c r="E15" s="496">
        <f t="shared" si="11"/>
        <v>113.38321543846483</v>
      </c>
      <c r="F15" s="621">
        <f t="shared" si="11"/>
        <v>91.675904522613067</v>
      </c>
      <c r="G15" s="477">
        <f t="shared" si="11"/>
        <v>91.215153458543284</v>
      </c>
      <c r="H15" s="495">
        <f t="shared" si="11"/>
        <v>104.51650064963187</v>
      </c>
      <c r="I15" s="496">
        <f t="shared" si="11"/>
        <v>114.19700123930475</v>
      </c>
      <c r="J15" s="496">
        <f t="shared" si="11"/>
        <v>145.84959459459458</v>
      </c>
      <c r="K15" s="658">
        <f t="shared" si="11"/>
        <v>137.24248495250606</v>
      </c>
      <c r="L15" s="761">
        <f t="shared" si="11"/>
        <v>170.41929107421913</v>
      </c>
      <c r="M15" s="761">
        <f t="shared" si="11"/>
        <v>138.45494321338114</v>
      </c>
      <c r="N15" s="761">
        <f t="shared" ref="N15" si="12">(N6+N7)/N12</f>
        <v>150.51775794691753</v>
      </c>
      <c r="O15" s="761">
        <f t="shared" ref="O15:Q15" si="13">(O6+O7)/O12</f>
        <v>144.96780669878095</v>
      </c>
      <c r="P15" s="761">
        <f t="shared" si="13"/>
        <v>141.62240005727742</v>
      </c>
      <c r="Q15" s="761">
        <f t="shared" si="13"/>
        <v>153.30455915465774</v>
      </c>
      <c r="R15" s="743">
        <f t="shared" ref="R15:S15" si="14">(R6+R7)/R12</f>
        <v>146.45285382445792</v>
      </c>
      <c r="S15" s="743">
        <f t="shared" si="14"/>
        <v>144.98769375799426</v>
      </c>
      <c r="T15" s="743">
        <f>(T6+T7)/T12</f>
        <v>130.77553178221999</v>
      </c>
      <c r="U15" s="743">
        <f>(U6+U7)/U12</f>
        <v>173.24002920123229</v>
      </c>
      <c r="V15" s="795">
        <f>(V6+V7)/V12</f>
        <v>130.88813330610688</v>
      </c>
      <c r="W15" s="743">
        <f t="shared" si="0"/>
        <v>146.90612374747928</v>
      </c>
    </row>
    <row r="16" spans="1:72" ht="12" customHeight="1" x14ac:dyDescent="0.2">
      <c r="A16" s="589" t="s">
        <v>11</v>
      </c>
      <c r="B16" s="614"/>
      <c r="C16" s="478">
        <f t="shared" ref="C16:M16" si="15">(C7+C6)/(C4+C5)</f>
        <v>0.1853627956737485</v>
      </c>
      <c r="D16" s="622">
        <f t="shared" si="15"/>
        <v>0.33787397538465419</v>
      </c>
      <c r="E16" s="479">
        <f t="shared" si="15"/>
        <v>0.59649256450570609</v>
      </c>
      <c r="F16" s="622">
        <f t="shared" si="15"/>
        <v>0.46888541276124368</v>
      </c>
      <c r="G16" s="478">
        <f t="shared" si="15"/>
        <v>0.50012345941028569</v>
      </c>
      <c r="H16" s="497">
        <f t="shared" si="15"/>
        <v>0.52493841731660784</v>
      </c>
      <c r="I16" s="479">
        <f t="shared" si="15"/>
        <v>0.59023008288427148</v>
      </c>
      <c r="J16" s="479">
        <f t="shared" si="15"/>
        <v>0.78430541844357127</v>
      </c>
      <c r="K16" s="659">
        <f t="shared" si="15"/>
        <v>0.69100771237839997</v>
      </c>
      <c r="L16" s="762">
        <f t="shared" si="15"/>
        <v>0.78833802956279841</v>
      </c>
      <c r="M16" s="762">
        <f t="shared" si="15"/>
        <v>0.65135860253394129</v>
      </c>
      <c r="N16" s="762">
        <f t="shared" ref="N16" si="16">(N7+N6)/(N4+N5)</f>
        <v>0.7463000829045402</v>
      </c>
      <c r="O16" s="762">
        <f t="shared" ref="O16:P16" si="17">(O7+O6)/(O4+O5)</f>
        <v>0.68425837511875831</v>
      </c>
      <c r="P16" s="762">
        <f t="shared" si="17"/>
        <v>0.66838738308680279</v>
      </c>
      <c r="Q16" s="762">
        <f t="shared" ref="Q16:V16" si="18">(Q7+Q6)/(Q4+Q5)</f>
        <v>0.69511807837646911</v>
      </c>
      <c r="R16" s="744">
        <f t="shared" si="18"/>
        <v>0.6517854881360865</v>
      </c>
      <c r="S16" s="744">
        <f t="shared" si="18"/>
        <v>0.64953803160928225</v>
      </c>
      <c r="T16" s="744">
        <f t="shared" si="18"/>
        <v>0.56893219357879143</v>
      </c>
      <c r="U16" s="744">
        <f t="shared" si="18"/>
        <v>0.75620729263807851</v>
      </c>
      <c r="V16" s="796">
        <f t="shared" si="18"/>
        <v>0.61705117546634236</v>
      </c>
      <c r="W16" s="744">
        <f t="shared" si="0"/>
        <v>0.68069020378252409</v>
      </c>
    </row>
    <row r="17" spans="1:25" ht="12" customHeight="1" x14ac:dyDescent="0.2">
      <c r="A17" s="589" t="s">
        <v>12</v>
      </c>
      <c r="B17" s="614"/>
      <c r="C17" s="478">
        <f t="shared" ref="C17:M17" si="19">(C6+C7)/(C4+C5-C10-C11-C8)</f>
        <v>0.1859054366047028</v>
      </c>
      <c r="D17" s="622">
        <f t="shared" si="19"/>
        <v>0.36856808813239339</v>
      </c>
      <c r="E17" s="479">
        <f t="shared" si="19"/>
        <v>0.8884593316969619</v>
      </c>
      <c r="F17" s="622">
        <f t="shared" si="19"/>
        <v>0.62919998787712139</v>
      </c>
      <c r="G17" s="478">
        <f t="shared" si="19"/>
        <v>0.66380636823495931</v>
      </c>
      <c r="H17" s="497">
        <f t="shared" si="19"/>
        <v>0.70358005755728159</v>
      </c>
      <c r="I17" s="479">
        <f t="shared" si="19"/>
        <v>0.80442541937511558</v>
      </c>
      <c r="J17" s="479">
        <f t="shared" si="19"/>
        <v>1.2191710642666225</v>
      </c>
      <c r="K17" s="659">
        <f t="shared" si="19"/>
        <v>1.0464426764293044</v>
      </c>
      <c r="L17" s="762">
        <f t="shared" si="19"/>
        <v>1.3209276333505535</v>
      </c>
      <c r="M17" s="762">
        <f t="shared" si="19"/>
        <v>0.93197512993645826</v>
      </c>
      <c r="N17" s="762">
        <f t="shared" ref="N17" si="20">(N6+N7)/(N4+N5-N10-N11-N8)</f>
        <v>1.4674952507399222</v>
      </c>
      <c r="O17" s="762">
        <f t="shared" ref="O17:P17" si="21">(O6+O7)/(O4+O5-O10-O11-O8)</f>
        <v>1.1924991967288874</v>
      </c>
      <c r="P17" s="762">
        <f t="shared" si="21"/>
        <v>1.0940500887817726</v>
      </c>
      <c r="Q17" s="762">
        <f t="shared" ref="Q17:V17" si="22">(Q6+Q7)/(Q4+Q5-Q10-Q11-Q8)</f>
        <v>1.6522791404992463</v>
      </c>
      <c r="R17" s="744">
        <f t="shared" si="22"/>
        <v>1.264648751745677</v>
      </c>
      <c r="S17" s="744">
        <f t="shared" si="22"/>
        <v>1.0618082453818232</v>
      </c>
      <c r="T17" s="744">
        <f t="shared" si="22"/>
        <v>0.81315037001564971</v>
      </c>
      <c r="U17" s="744">
        <f t="shared" si="22"/>
        <v>1.3491025301347079</v>
      </c>
      <c r="V17" s="796">
        <f t="shared" si="22"/>
        <v>0.91868417044025574</v>
      </c>
      <c r="W17" s="744">
        <f t="shared" si="0"/>
        <v>1.1760885986820215</v>
      </c>
    </row>
    <row r="18" spans="1:25" ht="12" customHeight="1" x14ac:dyDescent="0.2">
      <c r="A18" s="589" t="s">
        <v>13</v>
      </c>
      <c r="B18" s="614"/>
      <c r="C18" s="480">
        <v>142872.98000000001</v>
      </c>
      <c r="D18" s="623">
        <v>270849.99</v>
      </c>
      <c r="E18" s="498">
        <v>268747.82</v>
      </c>
      <c r="F18" s="623">
        <v>376143.38</v>
      </c>
      <c r="G18" s="480">
        <f>SUM(G19:G20)</f>
        <v>476772.67</v>
      </c>
      <c r="H18" s="499">
        <f>SUM(H19:H20)</f>
        <v>619397.43000000005</v>
      </c>
      <c r="I18" s="498">
        <f t="shared" ref="I18:T18" si="23">SUM(I19:I20)</f>
        <v>705912.97</v>
      </c>
      <c r="J18" s="498">
        <f t="shared" si="23"/>
        <v>655892.89</v>
      </c>
      <c r="K18" s="660">
        <f t="shared" si="23"/>
        <v>649372.02</v>
      </c>
      <c r="L18" s="763">
        <f t="shared" si="23"/>
        <v>593783.31000000006</v>
      </c>
      <c r="M18" s="763">
        <f t="shared" si="23"/>
        <v>617723.17000000004</v>
      </c>
      <c r="N18" s="763">
        <f t="shared" si="23"/>
        <v>688896.20000000007</v>
      </c>
      <c r="O18" s="763">
        <f t="shared" si="23"/>
        <v>715258.71</v>
      </c>
      <c r="P18" s="763">
        <f t="shared" si="23"/>
        <v>727371.70000000007</v>
      </c>
      <c r="Q18" s="763">
        <f t="shared" si="23"/>
        <v>734404.73</v>
      </c>
      <c r="R18" s="745">
        <f t="shared" si="23"/>
        <v>675526.75</v>
      </c>
      <c r="S18" s="745">
        <f t="shared" si="23"/>
        <v>676607.37</v>
      </c>
      <c r="T18" s="745">
        <f t="shared" si="23"/>
        <v>787347.57999999984</v>
      </c>
      <c r="U18" s="745">
        <v>716788.02000000014</v>
      </c>
      <c r="V18" s="797">
        <v>845158.86999999988</v>
      </c>
      <c r="W18" s="745">
        <f t="shared" si="0"/>
        <v>702353.20250000001</v>
      </c>
    </row>
    <row r="19" spans="1:25" ht="12" customHeight="1" x14ac:dyDescent="0.2">
      <c r="A19" s="589" t="s">
        <v>14</v>
      </c>
      <c r="B19" s="614"/>
      <c r="C19" s="480">
        <v>387</v>
      </c>
      <c r="D19" s="623">
        <v>6965.75</v>
      </c>
      <c r="E19" s="498">
        <v>14813.56</v>
      </c>
      <c r="F19" s="623">
        <v>36704.080000000002</v>
      </c>
      <c r="G19" s="480">
        <v>55976.57</v>
      </c>
      <c r="H19" s="499">
        <v>70182.009999999995</v>
      </c>
      <c r="I19" s="498">
        <v>73121.08</v>
      </c>
      <c r="J19" s="498">
        <v>74618.040000000008</v>
      </c>
      <c r="K19" s="660">
        <v>71127.740000000005</v>
      </c>
      <c r="L19" s="763">
        <v>88128.85</v>
      </c>
      <c r="M19" s="763">
        <v>68611.05</v>
      </c>
      <c r="N19" s="763">
        <v>136891.29</v>
      </c>
      <c r="O19" s="763">
        <v>150500.60000000003</v>
      </c>
      <c r="P19" s="763">
        <v>128110.02</v>
      </c>
      <c r="Q19" s="763">
        <v>155890.07</v>
      </c>
      <c r="R19" s="745">
        <v>139735.98000000001</v>
      </c>
      <c r="S19" s="745">
        <v>158558.37</v>
      </c>
      <c r="T19" s="745">
        <v>164375.24</v>
      </c>
      <c r="U19" s="745">
        <v>176440.91999999998</v>
      </c>
      <c r="V19" s="797">
        <v>184880.59</v>
      </c>
      <c r="W19" s="745">
        <f t="shared" si="0"/>
        <v>135270.89333333334</v>
      </c>
    </row>
    <row r="20" spans="1:25" ht="12" customHeight="1" x14ac:dyDescent="0.2">
      <c r="A20" s="590" t="s">
        <v>15</v>
      </c>
      <c r="B20" s="614"/>
      <c r="C20" s="480">
        <v>142485.98000000001</v>
      </c>
      <c r="D20" s="623">
        <v>263884.24</v>
      </c>
      <c r="E20" s="498">
        <v>253934.26</v>
      </c>
      <c r="F20" s="623">
        <v>339439.3</v>
      </c>
      <c r="G20" s="480">
        <v>420796.1</v>
      </c>
      <c r="H20" s="499">
        <v>549215.42000000004</v>
      </c>
      <c r="I20" s="498">
        <v>632791.89</v>
      </c>
      <c r="J20" s="498">
        <v>581274.85</v>
      </c>
      <c r="K20" s="660">
        <v>578244.28</v>
      </c>
      <c r="L20" s="763">
        <v>505654.46</v>
      </c>
      <c r="M20" s="763">
        <v>549112.12</v>
      </c>
      <c r="N20" s="763">
        <v>552004.91</v>
      </c>
      <c r="O20" s="763">
        <v>564758.11</v>
      </c>
      <c r="P20" s="763">
        <v>599261.68000000005</v>
      </c>
      <c r="Q20" s="763">
        <v>578514.65999999992</v>
      </c>
      <c r="R20" s="745">
        <v>535790.77</v>
      </c>
      <c r="S20" s="745">
        <v>518049</v>
      </c>
      <c r="T20" s="745">
        <v>622972.33999999985</v>
      </c>
      <c r="U20" s="745">
        <v>540347.1</v>
      </c>
      <c r="V20" s="797">
        <v>660278.28</v>
      </c>
      <c r="W20" s="745">
        <f t="shared" si="0"/>
        <v>567082.3091666667</v>
      </c>
    </row>
    <row r="21" spans="1:25" ht="12" customHeight="1" x14ac:dyDescent="0.2">
      <c r="A21" s="590" t="s">
        <v>16</v>
      </c>
      <c r="B21" s="616"/>
      <c r="C21" s="592">
        <v>0</v>
      </c>
      <c r="D21" s="624">
        <v>0</v>
      </c>
      <c r="E21" s="631">
        <v>1.4E-3</v>
      </c>
      <c r="F21" s="628">
        <v>0.1</v>
      </c>
      <c r="G21" s="481">
        <v>0.128</v>
      </c>
      <c r="H21" s="635">
        <v>0.14000000000000001</v>
      </c>
      <c r="I21" s="631">
        <v>0.12520000000000001</v>
      </c>
      <c r="J21" s="631">
        <v>0.21</v>
      </c>
      <c r="K21" s="663">
        <v>0.21</v>
      </c>
      <c r="L21" s="764">
        <v>0.21</v>
      </c>
      <c r="M21" s="764">
        <v>0.18</v>
      </c>
      <c r="N21" s="764">
        <v>0.23</v>
      </c>
      <c r="O21" s="764">
        <v>0.26</v>
      </c>
      <c r="P21" s="764">
        <v>0.24</v>
      </c>
      <c r="Q21" s="764">
        <v>0.24</v>
      </c>
      <c r="R21" s="746">
        <v>0.26</v>
      </c>
      <c r="S21" s="746">
        <v>0.28000000000000003</v>
      </c>
      <c r="T21" s="746">
        <v>0.2</v>
      </c>
      <c r="U21" s="746">
        <v>0.18</v>
      </c>
      <c r="V21" s="798">
        <v>0.17</v>
      </c>
      <c r="W21" s="746">
        <f t="shared" si="0"/>
        <v>0.22166666666666668</v>
      </c>
    </row>
    <row r="22" spans="1:25" ht="12" customHeight="1" x14ac:dyDescent="0.2">
      <c r="A22" s="590" t="s">
        <v>64</v>
      </c>
      <c r="B22" s="616"/>
      <c r="C22" s="482">
        <v>0</v>
      </c>
      <c r="D22" s="625">
        <v>0</v>
      </c>
      <c r="E22" s="502">
        <v>376.68</v>
      </c>
      <c r="F22" s="625">
        <v>36472.080000000002</v>
      </c>
      <c r="G22" s="482">
        <v>61040.1</v>
      </c>
      <c r="H22" s="503">
        <v>85110.68</v>
      </c>
      <c r="I22" s="502">
        <v>88404.01</v>
      </c>
      <c r="J22" s="502">
        <v>135631.18</v>
      </c>
      <c r="K22" s="662">
        <v>137393.96</v>
      </c>
      <c r="L22" s="765">
        <v>121858.24000000001</v>
      </c>
      <c r="M22" s="765">
        <v>110615.09</v>
      </c>
      <c r="N22" s="765">
        <v>157661.1</v>
      </c>
      <c r="O22" s="765">
        <v>183758.13</v>
      </c>
      <c r="P22" s="765">
        <v>174031.03</v>
      </c>
      <c r="Q22" s="765">
        <v>175911.96</v>
      </c>
      <c r="R22" s="747">
        <v>178821.87</v>
      </c>
      <c r="S22" s="747">
        <v>189293.59</v>
      </c>
      <c r="T22" s="747">
        <v>154816.17000000001</v>
      </c>
      <c r="U22" s="747">
        <v>130929.24</v>
      </c>
      <c r="V22" s="799">
        <v>147134.9</v>
      </c>
      <c r="W22" s="747">
        <f t="shared" si="0"/>
        <v>155185.43999999997</v>
      </c>
    </row>
    <row r="23" spans="1:25" ht="12" customHeight="1" x14ac:dyDescent="0.2">
      <c r="A23" s="591" t="s">
        <v>234</v>
      </c>
      <c r="B23" s="616"/>
      <c r="C23" s="478">
        <v>0</v>
      </c>
      <c r="D23" s="622">
        <v>0</v>
      </c>
      <c r="E23" s="631">
        <v>5.9999999999999995E-4</v>
      </c>
      <c r="F23" s="628">
        <v>7.1999999999999995E-2</v>
      </c>
      <c r="G23" s="481">
        <v>8.8599999999999998E-2</v>
      </c>
      <c r="H23" s="635">
        <v>0.1027</v>
      </c>
      <c r="I23" s="631">
        <v>7.7499999999999999E-2</v>
      </c>
      <c r="J23" s="631">
        <v>0.13</v>
      </c>
      <c r="K23" s="663">
        <v>0.13</v>
      </c>
      <c r="L23" s="764">
        <v>0.09</v>
      </c>
      <c r="M23" s="764">
        <v>7.0000000000000007E-2</v>
      </c>
      <c r="N23" s="764">
        <v>0.08</v>
      </c>
      <c r="O23" s="764">
        <v>0.09</v>
      </c>
      <c r="P23" s="764">
        <v>0.1</v>
      </c>
      <c r="Q23" s="764">
        <v>7.0000000000000007E-2</v>
      </c>
      <c r="R23" s="746">
        <v>0.1</v>
      </c>
      <c r="S23" s="746">
        <v>0.08</v>
      </c>
      <c r="T23" s="746">
        <v>0.05</v>
      </c>
      <c r="U23" s="746">
        <v>0.05</v>
      </c>
      <c r="V23" s="798">
        <v>0.06</v>
      </c>
      <c r="W23" s="746">
        <f t="shared" si="0"/>
        <v>8.0833333333333354E-2</v>
      </c>
    </row>
    <row r="24" spans="1:25" ht="12" customHeight="1" x14ac:dyDescent="0.2">
      <c r="A24" s="591" t="s">
        <v>235</v>
      </c>
      <c r="B24" s="616"/>
      <c r="C24" s="482">
        <v>0</v>
      </c>
      <c r="D24" s="625">
        <v>0</v>
      </c>
      <c r="E24" s="502">
        <v>145.09</v>
      </c>
      <c r="F24" s="625">
        <v>24454.560000000001</v>
      </c>
      <c r="G24" s="482">
        <v>37277.57</v>
      </c>
      <c r="H24" s="503">
        <v>56396.55</v>
      </c>
      <c r="I24" s="502">
        <v>49038.57</v>
      </c>
      <c r="J24" s="502">
        <v>76955.990000000005</v>
      </c>
      <c r="K24" s="662">
        <v>72920.149999999994</v>
      </c>
      <c r="L24" s="765">
        <v>43748.67</v>
      </c>
      <c r="M24" s="765">
        <v>12964.52</v>
      </c>
      <c r="N24" s="765">
        <v>43749.84</v>
      </c>
      <c r="O24" s="765">
        <v>50289.599999999999</v>
      </c>
      <c r="P24" s="765">
        <v>59027.99</v>
      </c>
      <c r="Q24" s="765">
        <v>40640.94</v>
      </c>
      <c r="R24" s="747">
        <v>53566.17</v>
      </c>
      <c r="S24" s="747">
        <v>43173.13</v>
      </c>
      <c r="T24" s="747">
        <v>32024.2</v>
      </c>
      <c r="U24" s="747">
        <v>27594.75</v>
      </c>
      <c r="V24" s="799">
        <v>36665.82</v>
      </c>
      <c r="W24" s="747">
        <f t="shared" si="0"/>
        <v>43030.481666666667</v>
      </c>
      <c r="X24" s="471"/>
    </row>
    <row r="25" spans="1:25" ht="12" customHeight="1" x14ac:dyDescent="0.2">
      <c r="A25" s="591" t="s">
        <v>236</v>
      </c>
      <c r="B25" s="616"/>
      <c r="C25" s="482" t="s">
        <v>238</v>
      </c>
      <c r="D25" s="625" t="s">
        <v>238</v>
      </c>
      <c r="E25" s="502" t="s">
        <v>238</v>
      </c>
      <c r="F25" s="625" t="s">
        <v>238</v>
      </c>
      <c r="G25" s="481">
        <v>0</v>
      </c>
      <c r="H25" s="635">
        <v>2.9999999999999997E-4</v>
      </c>
      <c r="I25" s="631">
        <v>8.8000000000000005E-3</v>
      </c>
      <c r="J25" s="631">
        <v>0.02</v>
      </c>
      <c r="K25" s="663">
        <v>0.03</v>
      </c>
      <c r="L25" s="764">
        <v>0.05</v>
      </c>
      <c r="M25" s="764">
        <v>0.05</v>
      </c>
      <c r="N25" s="764">
        <v>0.05</v>
      </c>
      <c r="O25" s="764">
        <v>0.06</v>
      </c>
      <c r="P25" s="764">
        <v>0.05</v>
      </c>
      <c r="Q25" s="764">
        <v>0.08</v>
      </c>
      <c r="R25" s="746">
        <v>7.0000000000000007E-2</v>
      </c>
      <c r="S25" s="746">
        <v>0.11</v>
      </c>
      <c r="T25" s="746">
        <v>0.05</v>
      </c>
      <c r="U25" s="746">
        <v>2.4525383776465168E-2</v>
      </c>
      <c r="V25" s="798">
        <v>0.02</v>
      </c>
      <c r="W25" s="746">
        <f t="shared" si="0"/>
        <v>5.3710448648038776E-2</v>
      </c>
      <c r="X25" s="471"/>
    </row>
    <row r="26" spans="1:25" ht="12" customHeight="1" x14ac:dyDescent="0.2">
      <c r="A26" s="591" t="s">
        <v>233</v>
      </c>
      <c r="B26" s="616"/>
      <c r="C26" s="482" t="s">
        <v>238</v>
      </c>
      <c r="D26" s="625" t="s">
        <v>238</v>
      </c>
      <c r="E26" s="502" t="s">
        <v>238</v>
      </c>
      <c r="F26" s="625" t="s">
        <v>238</v>
      </c>
      <c r="G26" s="482">
        <v>0</v>
      </c>
      <c r="H26" s="503">
        <v>-152.13999999999999</v>
      </c>
      <c r="I26" s="502">
        <v>5591.98</v>
      </c>
      <c r="J26" s="502">
        <v>12767.01</v>
      </c>
      <c r="K26" s="662">
        <v>18777.22</v>
      </c>
      <c r="L26" s="765">
        <v>25771.57</v>
      </c>
      <c r="M26" s="765">
        <v>26215.55</v>
      </c>
      <c r="N26" s="765">
        <v>27144.880000000001</v>
      </c>
      <c r="O26" s="765">
        <v>31538.39</v>
      </c>
      <c r="P26" s="765">
        <v>27942.17</v>
      </c>
      <c r="Q26" s="765">
        <v>46301.19</v>
      </c>
      <c r="R26" s="747">
        <v>35406.85</v>
      </c>
      <c r="S26" s="747">
        <v>55521.99</v>
      </c>
      <c r="T26" s="747">
        <v>31945.07</v>
      </c>
      <c r="U26" s="747">
        <v>13252.220000000001</v>
      </c>
      <c r="V26" s="799">
        <v>15175.36</v>
      </c>
      <c r="W26" s="747">
        <f t="shared" si="0"/>
        <v>29582.704999999998</v>
      </c>
      <c r="X26" s="471"/>
    </row>
    <row r="27" spans="1:25" ht="12" customHeight="1" x14ac:dyDescent="0.2">
      <c r="A27" s="589" t="s">
        <v>17</v>
      </c>
      <c r="B27" s="614"/>
      <c r="C27" s="483">
        <f>C18/(SUM(C4:C5)/30)</f>
        <v>24.322946562418942</v>
      </c>
      <c r="D27" s="626">
        <f>D18/(SUM(C4+C5+D4+D5)/60)</f>
        <v>42.550880195273727</v>
      </c>
      <c r="E27" s="504">
        <v>38.16359624257808</v>
      </c>
      <c r="F27" s="626">
        <v>44.031980577829096</v>
      </c>
      <c r="G27" s="483">
        <v>44.638236815799957</v>
      </c>
      <c r="H27" s="578">
        <v>47.680987416053711</v>
      </c>
      <c r="I27" s="504">
        <v>44.645821994599451</v>
      </c>
      <c r="J27" s="504">
        <v>38.828687958556273</v>
      </c>
      <c r="K27" s="664">
        <v>34.787359714890819</v>
      </c>
      <c r="L27" s="766">
        <v>31.035960394155307</v>
      </c>
      <c r="M27" s="766">
        <f t="shared" ref="M27" si="24">M18/(K4+K5+L4+L5+M4+M5)*90</f>
        <v>30.093869252192029</v>
      </c>
      <c r="N27" s="766">
        <f t="shared" ref="N27" si="25">N18/(L4+L5+M4+M5+N4+N5)*90</f>
        <v>34.034888098939973</v>
      </c>
      <c r="O27" s="766">
        <f t="shared" ref="O27" si="26">O18/(M4+M5+N4+N5+O4+O5)*90</f>
        <v>35.590562472313671</v>
      </c>
      <c r="P27" s="766">
        <f t="shared" ref="P27:V27" si="27">P18/(N4+N5+O4+O5+P4+P5)*90</f>
        <v>35.200834446984693</v>
      </c>
      <c r="Q27" s="766">
        <f t="shared" si="27"/>
        <v>34.467211551465191</v>
      </c>
      <c r="R27" s="748">
        <f t="shared" si="27"/>
        <v>31.325323711469636</v>
      </c>
      <c r="S27" s="748">
        <f t="shared" si="27"/>
        <v>30.899400980058889</v>
      </c>
      <c r="T27" s="748">
        <f t="shared" si="27"/>
        <v>34.331840386244465</v>
      </c>
      <c r="U27" s="748">
        <f t="shared" si="27"/>
        <v>29.119666488858659</v>
      </c>
      <c r="V27" s="800">
        <f t="shared" si="27"/>
        <v>32.087334034566432</v>
      </c>
      <c r="W27" s="748">
        <f t="shared" si="0"/>
        <v>32.747854294344982</v>
      </c>
    </row>
    <row r="28" spans="1:25" ht="12" customHeight="1" x14ac:dyDescent="0.2">
      <c r="A28" s="589" t="s">
        <v>18</v>
      </c>
      <c r="B28" s="587"/>
      <c r="C28" s="483">
        <f>C20/(SUM(C4:C4)/30)</f>
        <v>25.398270097697601</v>
      </c>
      <c r="D28" s="626">
        <f>D20/(SUM(C4+D4)/60)</f>
        <v>43.499286768553731</v>
      </c>
      <c r="E28" s="504">
        <v>37.64960908141412</v>
      </c>
      <c r="F28" s="626">
        <v>41.29011158596488</v>
      </c>
      <c r="G28" s="483">
        <v>40.808705394652343</v>
      </c>
      <c r="H28" s="578">
        <v>43.597833572739248</v>
      </c>
      <c r="I28" s="504">
        <v>41.12350883214787</v>
      </c>
      <c r="J28" s="504">
        <v>35.317942428509888</v>
      </c>
      <c r="K28" s="664">
        <v>31.899170354060793</v>
      </c>
      <c r="L28" s="766">
        <v>27.338081771169335</v>
      </c>
      <c r="M28" s="766">
        <f t="shared" ref="M28" si="28">M20/(SUM(K4+L4+M4)/90)</f>
        <v>27.749845697895115</v>
      </c>
      <c r="N28" s="766">
        <f t="shared" ref="N28" si="29">N20/(SUM(L4+M4+N4)/90)</f>
        <v>28.442062414213428</v>
      </c>
      <c r="O28" s="766">
        <f t="shared" ref="O28" si="30">O20/(SUM(M4+N4+O4)/90)</f>
        <v>29.42913796263943</v>
      </c>
      <c r="P28" s="766">
        <f t="shared" ref="P28:V28" si="31">P20/(SUM(N4+O4+P4)/90)</f>
        <v>30.319814960408298</v>
      </c>
      <c r="Q28" s="766">
        <f t="shared" si="31"/>
        <v>28.3516010834913</v>
      </c>
      <c r="R28" s="748">
        <f t="shared" si="31"/>
        <v>25.847997589529339</v>
      </c>
      <c r="S28" s="748">
        <f t="shared" si="31"/>
        <v>24.685834799708847</v>
      </c>
      <c r="T28" s="748">
        <f t="shared" si="31"/>
        <v>28.250541594112274</v>
      </c>
      <c r="U28" s="748">
        <f t="shared" si="31"/>
        <v>22.774292164757735</v>
      </c>
      <c r="V28" s="800">
        <f t="shared" si="31"/>
        <v>25.939433416349956</v>
      </c>
      <c r="W28" s="748">
        <f t="shared" si="0"/>
        <v>27.585651150694659</v>
      </c>
    </row>
    <row r="29" spans="1:25" ht="12" customHeight="1" x14ac:dyDescent="0.2">
      <c r="A29" s="217" t="s">
        <v>292</v>
      </c>
      <c r="B29" s="587"/>
      <c r="C29" s="483"/>
      <c r="D29" s="626"/>
      <c r="E29" s="504"/>
      <c r="F29" s="626"/>
      <c r="G29" s="483"/>
      <c r="H29" s="578"/>
      <c r="I29" s="504"/>
      <c r="J29" s="504"/>
      <c r="K29" s="664">
        <v>30.863314470530604</v>
      </c>
      <c r="L29" s="766">
        <v>25.944748291956248</v>
      </c>
      <c r="M29" s="766">
        <f>SUM('AR - Market 2'!B110:B115)/SUM(K4:M4)*90</f>
        <v>26.425020692419995</v>
      </c>
      <c r="N29" s="766">
        <f>SUM('AR - Market 2'!B99:B105)/SUM(L4:N4)*90</f>
        <v>28.442062414213424</v>
      </c>
      <c r="O29" s="766">
        <f>SUM('AR - Market 2'!B87:B92)/SUM(M4:O4)*90</f>
        <v>27.785695196621376</v>
      </c>
      <c r="P29" s="766">
        <f>SUM('AR - Market 2'!B75:B80)/SUM(N4:P4)*90</f>
        <v>28.906072930395172</v>
      </c>
      <c r="Q29" s="766">
        <f>SUM('AR - Market 2'!B63:B68)/SUM(O4:Q4)*90</f>
        <v>26.802407410773345</v>
      </c>
      <c r="R29" s="748">
        <f>SUM('AR - Market 2'!B51:B56)/SUM(P4:R4)*90</f>
        <v>24.139875268846531</v>
      </c>
      <c r="S29" s="748">
        <f>SUM('AR - Market 2'!B39:B44)/SUM(Q4:S4)*90</f>
        <v>22.040126241462261</v>
      </c>
      <c r="T29" s="748">
        <f>SUM('AR - Market 2'!B27:B32)/SUM(R4:T4)*90</f>
        <v>26.801896974092987</v>
      </c>
      <c r="U29" s="748">
        <f>SUM('AR - Market 2'!B15:B20)/SUM(S4:U4)*90</f>
        <v>22.215743909179711</v>
      </c>
      <c r="V29" s="800">
        <f>SUM('AR - Market 2'!B3:B8)/SUM(T4:V4)*90</f>
        <v>25.343260178167505</v>
      </c>
      <c r="W29" s="748">
        <f t="shared" si="0"/>
        <v>26.309185331554929</v>
      </c>
      <c r="Y29" s="716"/>
    </row>
    <row r="30" spans="1:25" ht="12" customHeight="1" x14ac:dyDescent="0.2">
      <c r="A30" s="217" t="s">
        <v>293</v>
      </c>
      <c r="B30" s="587"/>
      <c r="C30" s="483"/>
      <c r="D30" s="626"/>
      <c r="E30" s="504"/>
      <c r="F30" s="626"/>
      <c r="G30" s="483"/>
      <c r="H30" s="578"/>
      <c r="I30" s="504"/>
      <c r="J30" s="504"/>
      <c r="K30" s="664">
        <v>1.0358558835301879</v>
      </c>
      <c r="L30" s="766">
        <v>1.3933334792130867</v>
      </c>
      <c r="M30" s="766">
        <f>'AR - Market 2'!B116/SUM(K4:M4)*90</f>
        <v>1.3248250054751192</v>
      </c>
      <c r="N30" s="766">
        <f>'AR - Market 2'!B105/SUM(L4:N4)*90</f>
        <v>1.3986404055469972</v>
      </c>
      <c r="O30" s="766">
        <f>'AR - Market 2'!B93/SUM(M4:O4)*90</f>
        <v>1.6434427660180531</v>
      </c>
      <c r="P30" s="766">
        <f>'AR - Market 2'!B81/SUM(N4:P4)*90</f>
        <v>1.4137420300131185</v>
      </c>
      <c r="Q30" s="766">
        <f>'AR - Market 2'!B69/SUM(O4:Q4)*90</f>
        <v>1.5491936727179556</v>
      </c>
      <c r="R30" s="748">
        <f>'AR - Market 2'!B57/SUM(P4:R4)*90</f>
        <v>1.7081223206828045</v>
      </c>
      <c r="S30" s="748">
        <f>'AR - Market 2'!B45/SUM(Q4:S4)*90</f>
        <v>2.6457085582465876</v>
      </c>
      <c r="T30" s="748">
        <f>'AR - Market 2'!B33/SUM(R4:T4)*90</f>
        <v>1.4486446200192908</v>
      </c>
      <c r="U30" s="748">
        <f>'AR - Market 2'!B21/SUM(S4:U4)*90</f>
        <v>0.55854825557802723</v>
      </c>
      <c r="V30" s="800">
        <f>'AR - Market 2'!B9/SUM(T4:V4)*90</f>
        <v>0.59617323818245316</v>
      </c>
      <c r="W30" s="748">
        <f t="shared" si="0"/>
        <v>1.3930191862686401</v>
      </c>
      <c r="X30" s="715"/>
    </row>
    <row r="31" spans="1:25" ht="12" customHeight="1" x14ac:dyDescent="0.2">
      <c r="A31" s="217" t="s">
        <v>154</v>
      </c>
      <c r="B31" s="587"/>
      <c r="C31" s="483">
        <f>C19/(SUM(A5:C5)/90)</f>
        <v>4.3988380904268753</v>
      </c>
      <c r="D31" s="626">
        <f>D19/(SUM(B5:D5)/90)</f>
        <v>34.954976303317537</v>
      </c>
      <c r="E31" s="504">
        <v>49.823251989984684</v>
      </c>
      <c r="F31" s="629">
        <v>114.10594818652849</v>
      </c>
      <c r="G31" s="595">
        <v>151.54054910118992</v>
      </c>
      <c r="H31" s="578">
        <v>178.51703850292134</v>
      </c>
      <c r="I31" s="504">
        <v>172.53445565066377</v>
      </c>
      <c r="J31" s="504">
        <v>172.08075641879776</v>
      </c>
      <c r="K31" s="664">
        <v>131.80482210508978</v>
      </c>
      <c r="L31" s="766">
        <v>138.6182299585802</v>
      </c>
      <c r="M31" s="766">
        <f t="shared" ref="M31" si="32">M19/(SUM(K5:M5)/90)</f>
        <v>92.891981948100792</v>
      </c>
      <c r="N31" s="766">
        <f t="shared" ref="N31" si="33">N19/(SUM(L5:N5)/90)</f>
        <v>164.36775224769241</v>
      </c>
      <c r="O31" s="766">
        <f t="shared" ref="O31" si="34">O19/(SUM(M5:O5)/90)</f>
        <v>166.03768727394709</v>
      </c>
      <c r="P31" s="766">
        <f t="shared" ref="P31:V31" si="35">P19/(SUM(N5:P5)/90)</f>
        <v>142.53593994169219</v>
      </c>
      <c r="Q31" s="766">
        <f t="shared" si="35"/>
        <v>172.7628798747819</v>
      </c>
      <c r="R31" s="748">
        <f t="shared" si="35"/>
        <v>167.077242525277</v>
      </c>
      <c r="S31" s="748">
        <f t="shared" si="35"/>
        <v>173.96767256368378</v>
      </c>
      <c r="T31" s="748">
        <f t="shared" si="35"/>
        <v>186.41815065007773</v>
      </c>
      <c r="U31" s="748">
        <f t="shared" si="35"/>
        <v>198.45587248674909</v>
      </c>
      <c r="V31" s="800">
        <f t="shared" si="35"/>
        <v>208.97189126383483</v>
      </c>
      <c r="W31" s="748">
        <f t="shared" si="0"/>
        <v>161.99251023662555</v>
      </c>
    </row>
    <row r="32" spans="1:25" ht="12" customHeight="1" x14ac:dyDescent="0.2">
      <c r="A32" s="217" t="s">
        <v>292</v>
      </c>
      <c r="B32" s="711"/>
      <c r="C32" s="708"/>
      <c r="D32" s="712"/>
      <c r="E32" s="710"/>
      <c r="F32" s="713"/>
      <c r="G32" s="714"/>
      <c r="H32" s="709"/>
      <c r="I32" s="710"/>
      <c r="J32" s="710"/>
      <c r="K32" s="718">
        <v>97.146186789655758</v>
      </c>
      <c r="L32" s="767">
        <v>98.310989356682228</v>
      </c>
      <c r="M32" s="767">
        <f>SUM('AR - Market 2'!D110:D115)/SUM(K5:M5)*90</f>
        <v>51.528090259496047</v>
      </c>
      <c r="N32" s="767">
        <f>SUM('AR - Market 2'!D99:D104)/SUM(L5:N5)*90</f>
        <v>108.63850788364046</v>
      </c>
      <c r="O32" s="767">
        <f>SUM('AR - Market 2'!D87:D92)/SUM(M5:O5)*90</f>
        <v>105.25318715385859</v>
      </c>
      <c r="P32" s="767">
        <f>SUM('AR - Market 2'!D75:D80)/SUM(N5:P5)*90</f>
        <v>75.764310054222562</v>
      </c>
      <c r="Q32" s="767">
        <f>SUM('AR - Market 2'!D63:D68)/SUM(O5:Q5)*90</f>
        <v>111.99560054873129</v>
      </c>
      <c r="R32" s="749">
        <f>SUM('AR - Market 2'!D51:D56)/SUM(P5:R5)*90</f>
        <v>102.69131283356712</v>
      </c>
      <c r="S32" s="803">
        <f>SUM('AR - Market 2'!D39:D44)/SUM(Q5:S5)*90</f>
        <v>114.58902968946552</v>
      </c>
      <c r="T32" s="749">
        <f>SUM('AR - Market 2'!D27:D32)/SUM(R5:T5)*90</f>
        <v>126.38721615360609</v>
      </c>
      <c r="U32" s="749">
        <f>SUM('AR - Market 2'!D15:D20)/SUM(S5:U5)*90</f>
        <v>138.01727499975996</v>
      </c>
      <c r="V32" s="801">
        <f>SUM('AR - Market 2'!D3:D8)/SUM(T5:V5)*90</f>
        <v>147.66329675880428</v>
      </c>
      <c r="W32" s="749">
        <f t="shared" si="0"/>
        <v>106.49875020679083</v>
      </c>
    </row>
    <row r="33" spans="1:23" ht="12" customHeight="1" x14ac:dyDescent="0.2">
      <c r="A33" s="217" t="s">
        <v>293</v>
      </c>
      <c r="B33" s="711"/>
      <c r="C33" s="708"/>
      <c r="D33" s="712"/>
      <c r="E33" s="710"/>
      <c r="F33" s="713"/>
      <c r="G33" s="714"/>
      <c r="H33" s="709"/>
      <c r="I33" s="710"/>
      <c r="J33" s="710"/>
      <c r="K33" s="718">
        <v>34.491858837094384</v>
      </c>
      <c r="L33" s="767">
        <v>40.307240601897973</v>
      </c>
      <c r="M33" s="767">
        <f>'AR - Market 2'!D116/SUM(K5:M5)*90</f>
        <v>41.363891688604745</v>
      </c>
      <c r="N33" s="767">
        <f>'AR - Market 2'!D105/SUM(L5:N5)*90</f>
        <v>55.729244364051937</v>
      </c>
      <c r="O33" s="767">
        <f>'AR - Market 2'!D93/SUM(M5:O5)*90</f>
        <v>60.784500120088481</v>
      </c>
      <c r="P33" s="767">
        <f>'AR - Market 2'!D81/SUM(N5:P5)*90</f>
        <v>66.771629887469629</v>
      </c>
      <c r="Q33" s="767">
        <f>'AR - Market 2'!D69/SUM(O5:Q5)*90</f>
        <v>60.767279326050613</v>
      </c>
      <c r="R33" s="749">
        <f>'AR - Market 2'!D57/SUM(P5:R5)*90</f>
        <v>64.38592969170989</v>
      </c>
      <c r="S33" s="803">
        <f>'AR - Market 2'!D45/SUM(Q5:S5)*90</f>
        <v>59.378642874218258</v>
      </c>
      <c r="T33" s="749">
        <f>'AR - Market 2'!D33/SUM(R5:T5)*90</f>
        <v>60.030934496471687</v>
      </c>
      <c r="U33" s="749">
        <f>'AR - Market 2'!D21/SUM(S5:U5)*90</f>
        <v>60.438597486989131</v>
      </c>
      <c r="V33" s="801">
        <f>'AR - Market 2'!D9/SUM(T5:V5)*90</f>
        <v>61.308594505030577</v>
      </c>
      <c r="W33" s="749">
        <f t="shared" si="0"/>
        <v>55.479861989973102</v>
      </c>
    </row>
    <row r="34" spans="1:23" ht="12" customHeight="1" thickBot="1" x14ac:dyDescent="0.25">
      <c r="A34" s="488" t="s">
        <v>155</v>
      </c>
      <c r="B34" s="617"/>
      <c r="C34" s="630">
        <f t="shared" ref="C34:V34" si="36">C8/(C4+C5-C10-C11)</f>
        <v>0</v>
      </c>
      <c r="D34" s="627">
        <f t="shared" si="36"/>
        <v>0</v>
      </c>
      <c r="E34" s="630">
        <v>9.4440883344198718E-3</v>
      </c>
      <c r="F34" s="627">
        <v>2.347246774887983E-2</v>
      </c>
      <c r="G34" s="630">
        <v>4.7304502216326656E-2</v>
      </c>
      <c r="H34" s="636">
        <v>3.3061839618931527E-2</v>
      </c>
      <c r="I34" s="667">
        <v>1.6888328381549359E-2</v>
      </c>
      <c r="J34" s="667">
        <v>2.7142922207496336E-2</v>
      </c>
      <c r="K34" s="719">
        <v>2.0839370724924866E-2</v>
      </c>
      <c r="L34" s="768">
        <v>4.323532550234209E-2</v>
      </c>
      <c r="M34" s="768">
        <f t="shared" si="36"/>
        <v>1.3243420597421488E-2</v>
      </c>
      <c r="N34" s="768">
        <f t="shared" si="36"/>
        <v>0.21805288210037793</v>
      </c>
      <c r="O34" s="768">
        <f t="shared" si="36"/>
        <v>7.1080296304946999E-2</v>
      </c>
      <c r="P34" s="768">
        <f t="shared" si="36"/>
        <v>4.4045795413982285E-2</v>
      </c>
      <c r="Q34" s="768">
        <f t="shared" si="36"/>
        <v>0.19742119008837625</v>
      </c>
      <c r="R34" s="750">
        <f t="shared" si="36"/>
        <v>9.5259409495516437E-2</v>
      </c>
      <c r="S34" s="750">
        <f t="shared" si="36"/>
        <v>9.1712364069240895E-2</v>
      </c>
      <c r="T34" s="750">
        <f t="shared" si="36"/>
        <v>4.7907537040977839E-2</v>
      </c>
      <c r="U34" s="750">
        <f t="shared" si="36"/>
        <v>7.6418656599396548E-2</v>
      </c>
      <c r="V34" s="802">
        <f t="shared" si="36"/>
        <v>5.6363224336737378E-2</v>
      </c>
      <c r="W34" s="750">
        <f t="shared" si="0"/>
        <v>8.1298289356186743E-2</v>
      </c>
    </row>
    <row r="35" spans="1:23" ht="12" customHeight="1" x14ac:dyDescent="0.2">
      <c r="I35" s="471"/>
      <c r="J35" s="471"/>
      <c r="K35" s="471"/>
      <c r="L35" s="471"/>
      <c r="M35" s="771"/>
      <c r="N35" s="771"/>
      <c r="O35" s="771"/>
      <c r="P35" s="471"/>
      <c r="Q35" s="471"/>
      <c r="R35" s="471"/>
      <c r="S35" s="471"/>
      <c r="T35" s="471"/>
      <c r="U35" s="771"/>
      <c r="V35" s="471"/>
    </row>
  </sheetData>
  <pageMargins left="0.7" right="0.7" top="0.75" bottom="0.75" header="0.3" footer="0.3"/>
  <pageSetup orientation="portrait" r:id="rId1"/>
  <ignoredErrors>
    <ignoredError sqref="G18:K26 L4:P34 Q18:Q34 R1:R18 R19:R1048576 S4:T33 U29:U34 V29:V33 W4:W3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P690"/>
  <sheetViews>
    <sheetView showGridLines="0" workbookViewId="0">
      <selection activeCell="A2" sqref="A2"/>
    </sheetView>
  </sheetViews>
  <sheetFormatPr defaultRowHeight="12.75" x14ac:dyDescent="0.2"/>
  <cols>
    <col min="1" max="1" width="20.85546875" bestFit="1" customWidth="1"/>
    <col min="2" max="2" width="11.42578125" style="20" bestFit="1" customWidth="1"/>
    <col min="3" max="3" width="6.5703125" style="132" bestFit="1" customWidth="1"/>
    <col min="4" max="4" width="11.42578125" style="21" bestFit="1" customWidth="1"/>
    <col min="5" max="5" width="5.85546875" style="21" bestFit="1" customWidth="1"/>
    <col min="6" max="6" width="12.28515625" style="21" bestFit="1" customWidth="1"/>
    <col min="7" max="7" width="11.42578125" style="21" bestFit="1" customWidth="1"/>
    <col min="8" max="8" width="12.5703125" style="21" bestFit="1" customWidth="1"/>
    <col min="9" max="9" width="11.140625" customWidth="1"/>
    <col min="10" max="10" width="10.7109375" customWidth="1"/>
    <col min="13" max="13" width="10.140625" customWidth="1"/>
  </cols>
  <sheetData>
    <row r="1" spans="1:68" ht="13.5" thickBot="1" x14ac:dyDescent="0.25">
      <c r="A1" s="677" t="s">
        <v>328</v>
      </c>
      <c r="B1" s="678"/>
      <c r="C1" s="679"/>
      <c r="D1" s="680"/>
      <c r="E1" s="680"/>
      <c r="F1" s="680"/>
      <c r="G1" s="680"/>
      <c r="H1" s="680"/>
    </row>
    <row r="2" spans="1:68" x14ac:dyDescent="0.2">
      <c r="A2" s="216" t="s">
        <v>19</v>
      </c>
      <c r="B2" s="689" t="s">
        <v>20</v>
      </c>
      <c r="C2" s="671" t="s">
        <v>21</v>
      </c>
      <c r="D2" s="672" t="s">
        <v>22</v>
      </c>
      <c r="E2" s="672" t="s">
        <v>21</v>
      </c>
      <c r="F2" s="672" t="s">
        <v>23</v>
      </c>
      <c r="G2" s="672" t="s">
        <v>24</v>
      </c>
      <c r="H2" s="672" t="s">
        <v>21</v>
      </c>
    </row>
    <row r="3" spans="1:68" x14ac:dyDescent="0.2">
      <c r="A3" s="217" t="s">
        <v>25</v>
      </c>
      <c r="B3" s="690">
        <v>506208.22</v>
      </c>
      <c r="C3" s="221">
        <f>B3/$B$10</f>
        <v>0.76665890024430294</v>
      </c>
      <c r="D3" s="690">
        <v>21688.55</v>
      </c>
      <c r="E3" s="221">
        <f>D3/$D$10</f>
        <v>0.11731112498072405</v>
      </c>
      <c r="F3" s="690">
        <v>-2113.8199999999997</v>
      </c>
      <c r="G3" s="690">
        <f t="shared" ref="G3:G9" si="0">B3+D3</f>
        <v>527896.77</v>
      </c>
      <c r="H3" s="221">
        <f>G3/$G$10</f>
        <v>0.62461247078907201</v>
      </c>
    </row>
    <row r="4" spans="1:68" x14ac:dyDescent="0.2">
      <c r="A4" s="217" t="s">
        <v>26</v>
      </c>
      <c r="B4" s="690">
        <v>74668.34</v>
      </c>
      <c r="C4" s="221">
        <f t="shared" ref="C4:C10" si="1">B4/$B$10</f>
        <v>0.11308616724451392</v>
      </c>
      <c r="D4" s="690">
        <v>36845.629999999997</v>
      </c>
      <c r="E4" s="221">
        <f t="shared" ref="E4:E10" si="2">D4/$D$10</f>
        <v>0.19929420389668812</v>
      </c>
      <c r="F4" s="690">
        <v>-476.85999999999996</v>
      </c>
      <c r="G4" s="690">
        <f t="shared" si="0"/>
        <v>111513.97</v>
      </c>
      <c r="H4" s="224">
        <f t="shared" ref="H4:H10" si="3">G4/$G$10</f>
        <v>0.13194438815982612</v>
      </c>
      <c r="BP4">
        <v>5974908.2901375443</v>
      </c>
    </row>
    <row r="5" spans="1:68" x14ac:dyDescent="0.2">
      <c r="A5" s="217" t="s">
        <v>27</v>
      </c>
      <c r="B5" s="690">
        <v>27560.54</v>
      </c>
      <c r="C5" s="221">
        <f t="shared" si="1"/>
        <v>4.1740794502584576E-2</v>
      </c>
      <c r="D5" s="690">
        <v>31052.69</v>
      </c>
      <c r="E5" s="221">
        <f t="shared" si="2"/>
        <v>0.16796079025926949</v>
      </c>
      <c r="F5" s="690">
        <v>-629.95999999999992</v>
      </c>
      <c r="G5" s="690">
        <f t="shared" si="0"/>
        <v>58613.229999999996</v>
      </c>
      <c r="H5" s="224">
        <f t="shared" si="3"/>
        <v>6.9351730284745172E-2</v>
      </c>
      <c r="BP5">
        <v>377275.78999996191</v>
      </c>
    </row>
    <row r="6" spans="1:68" x14ac:dyDescent="0.2">
      <c r="A6" s="217" t="s">
        <v>28</v>
      </c>
      <c r="B6" s="690">
        <v>17015.8</v>
      </c>
      <c r="C6" s="221">
        <f t="shared" si="1"/>
        <v>2.57706493086521E-2</v>
      </c>
      <c r="D6" s="690">
        <v>17995.77</v>
      </c>
      <c r="E6" s="221">
        <f t="shared" si="2"/>
        <v>9.733725968745556E-2</v>
      </c>
      <c r="F6" s="690">
        <v>-936.90999999999985</v>
      </c>
      <c r="G6" s="690">
        <f t="shared" si="0"/>
        <v>35011.57</v>
      </c>
      <c r="H6" s="224">
        <f t="shared" si="3"/>
        <v>4.1426022068489922E-2</v>
      </c>
      <c r="BP6">
        <v>1723859.1027311464</v>
      </c>
    </row>
    <row r="7" spans="1:68" x14ac:dyDescent="0.2">
      <c r="A7" s="217" t="s">
        <v>151</v>
      </c>
      <c r="B7" s="690">
        <v>10427.66</v>
      </c>
      <c r="C7" s="221">
        <f t="shared" si="1"/>
        <v>1.5792826018750761E-2</v>
      </c>
      <c r="D7" s="690">
        <v>10645.09</v>
      </c>
      <c r="E7" s="221">
        <f t="shared" si="2"/>
        <v>5.7578191415334622E-2</v>
      </c>
      <c r="F7" s="690">
        <v>-541.49</v>
      </c>
      <c r="G7" s="690">
        <f t="shared" si="0"/>
        <v>21072.75</v>
      </c>
      <c r="H7" s="224">
        <f t="shared" si="3"/>
        <v>2.493347789155902E-2</v>
      </c>
      <c r="BP7">
        <v>1886936.4053251962</v>
      </c>
    </row>
    <row r="8" spans="1:68" x14ac:dyDescent="0.2">
      <c r="A8" s="217" t="s">
        <v>152</v>
      </c>
      <c r="B8" s="690">
        <v>9222.36</v>
      </c>
      <c r="C8" s="221">
        <f t="shared" si="1"/>
        <v>1.3967383570454567E-2</v>
      </c>
      <c r="D8" s="690">
        <v>12412.220000000001</v>
      </c>
      <c r="E8" s="221">
        <f t="shared" si="2"/>
        <v>6.7136414915162271E-2</v>
      </c>
      <c r="F8" s="690">
        <v>-864.38000000000011</v>
      </c>
      <c r="G8" s="690">
        <f t="shared" si="0"/>
        <v>21634.58</v>
      </c>
      <c r="H8" s="224">
        <f t="shared" si="3"/>
        <v>2.5598240482289449E-2</v>
      </c>
      <c r="BP8">
        <v>272134.43085956585</v>
      </c>
    </row>
    <row r="9" spans="1:68" ht="13.5" thickBot="1" x14ac:dyDescent="0.25">
      <c r="A9" s="226" t="s">
        <v>153</v>
      </c>
      <c r="B9" s="691">
        <v>15175.36</v>
      </c>
      <c r="C9" s="221">
        <f t="shared" si="1"/>
        <v>2.2983279110741005E-2</v>
      </c>
      <c r="D9" s="691">
        <v>54240.639999999999</v>
      </c>
      <c r="E9" s="221">
        <f t="shared" si="2"/>
        <v>0.29338201484536586</v>
      </c>
      <c r="F9" s="691">
        <v>-18946.27</v>
      </c>
      <c r="G9" s="691">
        <f t="shared" si="0"/>
        <v>69416</v>
      </c>
      <c r="H9" s="224">
        <f t="shared" si="3"/>
        <v>8.2133670324018498E-2</v>
      </c>
    </row>
    <row r="10" spans="1:68" ht="13.5" thickBot="1" x14ac:dyDescent="0.25">
      <c r="A10" s="232" t="s">
        <v>24</v>
      </c>
      <c r="B10" s="692">
        <f>SUM(B3:B9)</f>
        <v>660278.28</v>
      </c>
      <c r="C10" s="235">
        <f t="shared" si="1"/>
        <v>1</v>
      </c>
      <c r="D10" s="692">
        <f>SUM(D3:D9)</f>
        <v>184880.59</v>
      </c>
      <c r="E10" s="235">
        <f t="shared" si="2"/>
        <v>1</v>
      </c>
      <c r="F10" s="692">
        <f>SUM(F3:F9)</f>
        <v>-24509.69</v>
      </c>
      <c r="G10" s="692">
        <f>SUM(G3:G9)</f>
        <v>845158.86999999988</v>
      </c>
      <c r="H10" s="235">
        <f t="shared" si="3"/>
        <v>1</v>
      </c>
      <c r="BP10">
        <v>2105614.8973325035</v>
      </c>
    </row>
    <row r="11" spans="1:68" x14ac:dyDescent="0.2">
      <c r="BP11">
        <v>101118.09985459411</v>
      </c>
    </row>
    <row r="12" spans="1:68" x14ac:dyDescent="0.2">
      <c r="BP12">
        <v>28878</v>
      </c>
    </row>
    <row r="13" spans="1:68" ht="13.5" thickBot="1" x14ac:dyDescent="0.25">
      <c r="A13" s="677" t="s">
        <v>328</v>
      </c>
      <c r="B13" s="678"/>
      <c r="C13" s="679"/>
      <c r="D13" s="680"/>
      <c r="E13" s="680"/>
      <c r="F13" s="680"/>
      <c r="G13" s="680"/>
      <c r="H13" s="680"/>
    </row>
    <row r="14" spans="1:68" x14ac:dyDescent="0.2">
      <c r="A14" s="216" t="s">
        <v>19</v>
      </c>
      <c r="B14" s="689" t="s">
        <v>20</v>
      </c>
      <c r="C14" s="671" t="s">
        <v>21</v>
      </c>
      <c r="D14" s="672" t="s">
        <v>22</v>
      </c>
      <c r="E14" s="672" t="s">
        <v>21</v>
      </c>
      <c r="F14" s="672" t="s">
        <v>23</v>
      </c>
      <c r="G14" s="672" t="s">
        <v>24</v>
      </c>
      <c r="H14" s="672" t="s">
        <v>21</v>
      </c>
    </row>
    <row r="15" spans="1:68" x14ac:dyDescent="0.2">
      <c r="A15" s="217" t="s">
        <v>25</v>
      </c>
      <c r="B15" s="690">
        <v>396423.13</v>
      </c>
      <c r="C15" s="221">
        <f>B15/$B$22</f>
        <v>0.7336453364883424</v>
      </c>
      <c r="D15" s="690">
        <v>14782.15</v>
      </c>
      <c r="E15" s="221">
        <f>D15/$D$22</f>
        <v>8.3779601693303354E-2</v>
      </c>
      <c r="F15" s="690">
        <v>-6638.1900000000005</v>
      </c>
      <c r="G15" s="690">
        <f t="shared" ref="G15:G21" si="4">B15+D15</f>
        <v>411205.28</v>
      </c>
      <c r="H15" s="224">
        <f>G15/$G$22</f>
        <v>0.57367766832933387</v>
      </c>
    </row>
    <row r="16" spans="1:68" x14ac:dyDescent="0.2">
      <c r="A16" s="217" t="s">
        <v>26</v>
      </c>
      <c r="B16" s="690">
        <v>77450.31</v>
      </c>
      <c r="C16" s="221">
        <f t="shared" ref="C16:C21" si="5">B16/$B$22</f>
        <v>0.14333436785355191</v>
      </c>
      <c r="D16" s="690">
        <v>43246.42</v>
      </c>
      <c r="E16" s="221">
        <f t="shared" ref="E16:E21" si="6">D16/$D$22</f>
        <v>0.24510425359378085</v>
      </c>
      <c r="F16" s="690">
        <v>-4495.5999999999995</v>
      </c>
      <c r="G16" s="690">
        <f t="shared" si="4"/>
        <v>120696.73</v>
      </c>
      <c r="H16" s="224">
        <f t="shared" ref="H16:H22" si="7">G16/$G$22</f>
        <v>0.1683855290996632</v>
      </c>
      <c r="BP16">
        <v>5974908.2901375443</v>
      </c>
    </row>
    <row r="17" spans="1:68" x14ac:dyDescent="0.2">
      <c r="A17" s="217" t="s">
        <v>27</v>
      </c>
      <c r="B17" s="690">
        <v>25626.690000000002</v>
      </c>
      <c r="C17" s="221">
        <f t="shared" si="5"/>
        <v>4.7426348730288372E-2</v>
      </c>
      <c r="D17" s="690">
        <v>28330.079999999998</v>
      </c>
      <c r="E17" s="221">
        <f t="shared" si="6"/>
        <v>0.16056411403885221</v>
      </c>
      <c r="F17" s="690">
        <v>-1473.24</v>
      </c>
      <c r="G17" s="690">
        <f t="shared" si="4"/>
        <v>53956.770000000004</v>
      </c>
      <c r="H17" s="224">
        <f t="shared" si="7"/>
        <v>7.5275769815460913E-2</v>
      </c>
      <c r="BP17">
        <v>377275.78999996191</v>
      </c>
    </row>
    <row r="18" spans="1:68" x14ac:dyDescent="0.2">
      <c r="A18" s="217" t="s">
        <v>28</v>
      </c>
      <c r="B18" s="690">
        <v>12601.7</v>
      </c>
      <c r="C18" s="221">
        <f t="shared" si="5"/>
        <v>2.3321490945357161E-2</v>
      </c>
      <c r="D18" s="690">
        <v>14372.11</v>
      </c>
      <c r="E18" s="221">
        <f t="shared" si="6"/>
        <v>8.145565099071124E-2</v>
      </c>
      <c r="F18" s="690">
        <v>-854.62000000000012</v>
      </c>
      <c r="G18" s="690">
        <f t="shared" si="4"/>
        <v>26973.81</v>
      </c>
      <c r="H18" s="224">
        <f t="shared" si="7"/>
        <v>3.7631502267574168E-2</v>
      </c>
      <c r="BP18">
        <v>1723859.1027311464</v>
      </c>
    </row>
    <row r="19" spans="1:68" x14ac:dyDescent="0.2">
      <c r="A19" s="217" t="s">
        <v>151</v>
      </c>
      <c r="B19" s="690">
        <v>9966.2900000000009</v>
      </c>
      <c r="C19" s="221">
        <f t="shared" si="5"/>
        <v>1.8444237046890789E-2</v>
      </c>
      <c r="D19" s="690">
        <v>12308.810000000001</v>
      </c>
      <c r="E19" s="221">
        <f t="shared" si="6"/>
        <v>6.9761651662210794E-2</v>
      </c>
      <c r="F19" s="690">
        <v>-1054.8999999999999</v>
      </c>
      <c r="G19" s="690">
        <f t="shared" si="4"/>
        <v>22275.100000000002</v>
      </c>
      <c r="H19" s="224">
        <f t="shared" si="7"/>
        <v>3.1076272731232309E-2</v>
      </c>
      <c r="BP19">
        <v>1886936.4053251962</v>
      </c>
    </row>
    <row r="20" spans="1:68" x14ac:dyDescent="0.2">
      <c r="A20" s="217" t="s">
        <v>152</v>
      </c>
      <c r="B20" s="690">
        <v>5026.76</v>
      </c>
      <c r="C20" s="221">
        <f t="shared" si="5"/>
        <v>9.3028351591042131E-3</v>
      </c>
      <c r="D20" s="690">
        <v>9667.2800000000007</v>
      </c>
      <c r="E20" s="221">
        <f t="shared" si="6"/>
        <v>5.4790464706259756E-2</v>
      </c>
      <c r="F20" s="690">
        <v>-1449.6</v>
      </c>
      <c r="G20" s="690">
        <f t="shared" si="4"/>
        <v>14694.04</v>
      </c>
      <c r="H20" s="224">
        <f t="shared" si="7"/>
        <v>2.049984038516715E-2</v>
      </c>
      <c r="BP20">
        <v>272134.43085956585</v>
      </c>
    </row>
    <row r="21" spans="1:68" ht="13.5" thickBot="1" x14ac:dyDescent="0.25">
      <c r="A21" s="226" t="s">
        <v>153</v>
      </c>
      <c r="B21" s="691">
        <v>13252.220000000001</v>
      </c>
      <c r="C21" s="221">
        <f t="shared" si="5"/>
        <v>2.4525383776465168E-2</v>
      </c>
      <c r="D21" s="691">
        <v>53734.07</v>
      </c>
      <c r="E21" s="221">
        <f t="shared" si="6"/>
        <v>0.30454426331488188</v>
      </c>
      <c r="F21" s="691">
        <v>-2951.9700000000003</v>
      </c>
      <c r="G21" s="691">
        <f t="shared" si="4"/>
        <v>66986.290000000008</v>
      </c>
      <c r="H21" s="224">
        <f t="shared" si="7"/>
        <v>9.3453417371568231E-2</v>
      </c>
    </row>
    <row r="22" spans="1:68" ht="13.5" thickBot="1" x14ac:dyDescent="0.25">
      <c r="A22" s="232" t="s">
        <v>24</v>
      </c>
      <c r="B22" s="692">
        <f>SUM(B15:B21)</f>
        <v>540347.1</v>
      </c>
      <c r="C22" s="235">
        <f>B22/$B22</f>
        <v>1</v>
      </c>
      <c r="D22" s="692">
        <f>SUM(D15:D21)</f>
        <v>176440.91999999998</v>
      </c>
      <c r="E22" s="235">
        <f>D22/$D$22</f>
        <v>1</v>
      </c>
      <c r="F22" s="692">
        <f>SUM(F15:F21)</f>
        <v>-18918.120000000003</v>
      </c>
      <c r="G22" s="692">
        <f>SUM(G15:G21)</f>
        <v>716788.02000000014</v>
      </c>
      <c r="H22" s="235">
        <f t="shared" si="7"/>
        <v>1</v>
      </c>
      <c r="BP22">
        <v>2105614.8973325035</v>
      </c>
    </row>
    <row r="23" spans="1:68" x14ac:dyDescent="0.2">
      <c r="BP23">
        <v>101118.09985459411</v>
      </c>
    </row>
    <row r="24" spans="1:68" x14ac:dyDescent="0.2">
      <c r="BP24">
        <v>28878</v>
      </c>
    </row>
    <row r="25" spans="1:68" ht="13.5" thickBot="1" x14ac:dyDescent="0.25">
      <c r="A25" s="677" t="s">
        <v>323</v>
      </c>
      <c r="B25" s="678"/>
      <c r="C25" s="679"/>
      <c r="D25" s="680"/>
      <c r="E25" s="680"/>
      <c r="F25" s="680"/>
      <c r="G25" s="680"/>
      <c r="H25" s="680"/>
    </row>
    <row r="26" spans="1:68" x14ac:dyDescent="0.2">
      <c r="A26" s="216" t="s">
        <v>19</v>
      </c>
      <c r="B26" s="689" t="s">
        <v>20</v>
      </c>
      <c r="C26" s="671" t="s">
        <v>21</v>
      </c>
      <c r="D26" s="672" t="s">
        <v>22</v>
      </c>
      <c r="E26" s="672" t="s">
        <v>21</v>
      </c>
      <c r="F26" s="672" t="s">
        <v>23</v>
      </c>
      <c r="G26" s="672" t="s">
        <v>24</v>
      </c>
      <c r="H26" s="672" t="s">
        <v>21</v>
      </c>
    </row>
    <row r="27" spans="1:68" x14ac:dyDescent="0.2">
      <c r="A27" s="217" t="s">
        <v>25</v>
      </c>
      <c r="B27" s="690">
        <v>454294.42</v>
      </c>
      <c r="C27" s="221">
        <f>B27/$B$34</f>
        <v>0.72923690319862366</v>
      </c>
      <c r="D27" s="690">
        <v>18083.5</v>
      </c>
      <c r="E27" s="221">
        <f>D27/$D$34</f>
        <v>0.11001352758481144</v>
      </c>
      <c r="F27" s="690">
        <v>-2161.2799999999997</v>
      </c>
      <c r="G27" s="690">
        <f t="shared" ref="G27:G33" si="8">B27+D27</f>
        <v>472377.92</v>
      </c>
      <c r="H27" s="224">
        <f>G27/$G$34</f>
        <v>0.59996109977247924</v>
      </c>
    </row>
    <row r="28" spans="1:68" x14ac:dyDescent="0.2">
      <c r="A28" s="217" t="s">
        <v>26</v>
      </c>
      <c r="B28" s="690">
        <v>80429.819999999992</v>
      </c>
      <c r="C28" s="221">
        <f t="shared" ref="C28:C33" si="9">B28/$B$34</f>
        <v>0.12910656675383053</v>
      </c>
      <c r="D28" s="690">
        <v>36444.82</v>
      </c>
      <c r="E28" s="221">
        <f t="shared" ref="E28:E33" si="10">D28/$D$34</f>
        <v>0.2217172123976823</v>
      </c>
      <c r="F28" s="690">
        <v>-698.01</v>
      </c>
      <c r="G28" s="690">
        <f t="shared" si="8"/>
        <v>116874.63999999998</v>
      </c>
      <c r="H28" s="224">
        <f t="shared" ref="H28:H33" si="11">G28/$G$34</f>
        <v>0.14844097190214264</v>
      </c>
      <c r="BP28">
        <v>5974908.2901375443</v>
      </c>
    </row>
    <row r="29" spans="1:68" x14ac:dyDescent="0.2">
      <c r="A29" s="217" t="s">
        <v>27</v>
      </c>
      <c r="B29" s="690">
        <v>24278.83</v>
      </c>
      <c r="C29" s="221">
        <f t="shared" si="9"/>
        <v>3.8972564977764516E-2</v>
      </c>
      <c r="D29" s="690">
        <v>19000.02</v>
      </c>
      <c r="E29" s="221">
        <f t="shared" si="10"/>
        <v>0.11558930651599354</v>
      </c>
      <c r="F29" s="690">
        <v>-980.56000000000017</v>
      </c>
      <c r="G29" s="690">
        <f t="shared" si="8"/>
        <v>43278.850000000006</v>
      </c>
      <c r="H29" s="224">
        <f t="shared" si="11"/>
        <v>5.496790883639982E-2</v>
      </c>
      <c r="BP29">
        <v>377275.78999996191</v>
      </c>
    </row>
    <row r="30" spans="1:68" x14ac:dyDescent="0.2">
      <c r="A30" s="217" t="s">
        <v>28</v>
      </c>
      <c r="B30" s="690">
        <v>12645.189999999999</v>
      </c>
      <c r="C30" s="221">
        <f t="shared" si="9"/>
        <v>2.0298156415740707E-2</v>
      </c>
      <c r="D30" s="690">
        <v>14280.88</v>
      </c>
      <c r="E30" s="221">
        <f t="shared" si="10"/>
        <v>8.6879751475952213E-2</v>
      </c>
      <c r="F30" s="690">
        <v>-1087.3000000000002</v>
      </c>
      <c r="G30" s="690">
        <f t="shared" si="8"/>
        <v>26926.07</v>
      </c>
      <c r="H30" s="224">
        <f t="shared" si="11"/>
        <v>3.419845400426582E-2</v>
      </c>
      <c r="BP30">
        <v>1723859.1027311464</v>
      </c>
    </row>
    <row r="31" spans="1:68" x14ac:dyDescent="0.2">
      <c r="A31" s="217" t="s">
        <v>151</v>
      </c>
      <c r="B31" s="690">
        <v>8075.09</v>
      </c>
      <c r="C31" s="221">
        <f t="shared" si="9"/>
        <v>1.2962196684366439E-2</v>
      </c>
      <c r="D31" s="690">
        <v>11802.52</v>
      </c>
      <c r="E31" s="221">
        <f t="shared" si="10"/>
        <v>7.1802298205009468E-2</v>
      </c>
      <c r="F31" s="690">
        <v>-858.63000000000011</v>
      </c>
      <c r="G31" s="690">
        <f t="shared" si="8"/>
        <v>19877.61</v>
      </c>
      <c r="H31" s="224">
        <f t="shared" si="11"/>
        <v>2.5246295924348943E-2</v>
      </c>
      <c r="BP31">
        <v>1886936.4053251962</v>
      </c>
    </row>
    <row r="32" spans="1:68" x14ac:dyDescent="0.2">
      <c r="A32" s="217" t="s">
        <v>152</v>
      </c>
      <c r="B32" s="690">
        <v>11303.920000000002</v>
      </c>
      <c r="C32" s="221">
        <f t="shared" si="9"/>
        <v>1.8145139477621117E-2</v>
      </c>
      <c r="D32" s="690">
        <v>11830.89</v>
      </c>
      <c r="E32" s="221">
        <f t="shared" si="10"/>
        <v>7.1974891108904232E-2</v>
      </c>
      <c r="F32" s="690">
        <v>-1970.07</v>
      </c>
      <c r="G32" s="690">
        <f t="shared" si="8"/>
        <v>23134.81</v>
      </c>
      <c r="H32" s="224">
        <f t="shared" si="11"/>
        <v>2.9383223607545736E-2</v>
      </c>
      <c r="BP32">
        <v>272134.43085956585</v>
      </c>
    </row>
    <row r="33" spans="1:68" ht="13.5" thickBot="1" x14ac:dyDescent="0.25">
      <c r="A33" s="226" t="s">
        <v>153</v>
      </c>
      <c r="B33" s="691">
        <v>31945.07</v>
      </c>
      <c r="C33" s="221">
        <f t="shared" si="9"/>
        <v>5.1278472492053188E-2</v>
      </c>
      <c r="D33" s="691">
        <v>52932.61</v>
      </c>
      <c r="E33" s="221">
        <f t="shared" si="10"/>
        <v>0.32202301271164685</v>
      </c>
      <c r="F33" s="691">
        <v>-23148.02</v>
      </c>
      <c r="G33" s="691">
        <f t="shared" si="8"/>
        <v>84877.68</v>
      </c>
      <c r="H33" s="224">
        <f t="shared" si="11"/>
        <v>0.10780204595281795</v>
      </c>
    </row>
    <row r="34" spans="1:68" ht="13.5" thickBot="1" x14ac:dyDescent="0.25">
      <c r="A34" s="232" t="s">
        <v>24</v>
      </c>
      <c r="B34" s="692">
        <f>SUM(B27:B33)</f>
        <v>622972.33999999985</v>
      </c>
      <c r="C34" s="235">
        <f>B34/$B$34</f>
        <v>1</v>
      </c>
      <c r="D34" s="692">
        <f>SUM(D27:D33)</f>
        <v>164375.24</v>
      </c>
      <c r="E34" s="235">
        <f>D34/$D$34</f>
        <v>1</v>
      </c>
      <c r="F34" s="692">
        <f>SUM(F27:F33)</f>
        <v>-30903.870000000003</v>
      </c>
      <c r="G34" s="692">
        <f>SUM(G27:G33)</f>
        <v>787347.57999999984</v>
      </c>
      <c r="H34" s="235">
        <f>G34/$G$34</f>
        <v>1</v>
      </c>
      <c r="BP34">
        <v>2105614.8973325035</v>
      </c>
    </row>
    <row r="35" spans="1:68" x14ac:dyDescent="0.2">
      <c r="BP35">
        <v>101118.09985459411</v>
      </c>
    </row>
    <row r="36" spans="1:68" x14ac:dyDescent="0.2">
      <c r="BP36">
        <v>28878</v>
      </c>
    </row>
    <row r="37" spans="1:68" ht="13.5" thickBot="1" x14ac:dyDescent="0.25">
      <c r="A37" s="677" t="s">
        <v>319</v>
      </c>
      <c r="B37" s="678"/>
      <c r="C37" s="679"/>
      <c r="D37" s="680"/>
      <c r="E37" s="680"/>
      <c r="F37" s="680"/>
      <c r="G37" s="680"/>
      <c r="H37" s="680"/>
    </row>
    <row r="38" spans="1:68" x14ac:dyDescent="0.2">
      <c r="A38" s="216" t="s">
        <v>19</v>
      </c>
      <c r="B38" s="689" t="s">
        <v>20</v>
      </c>
      <c r="C38" s="671" t="s">
        <v>21</v>
      </c>
      <c r="D38" s="672" t="s">
        <v>22</v>
      </c>
      <c r="E38" s="672" t="s">
        <v>21</v>
      </c>
      <c r="F38" s="672" t="s">
        <v>23</v>
      </c>
      <c r="G38" s="672" t="s">
        <v>24</v>
      </c>
      <c r="H38" s="672" t="s">
        <v>21</v>
      </c>
    </row>
    <row r="39" spans="1:68" x14ac:dyDescent="0.2">
      <c r="A39" s="217" t="s">
        <v>25</v>
      </c>
      <c r="B39" s="690">
        <v>351922.98</v>
      </c>
      <c r="C39" s="221">
        <f>B39/$B$46</f>
        <v>0.67932373192497231</v>
      </c>
      <c r="D39" s="690">
        <v>19623.239999999998</v>
      </c>
      <c r="E39" s="221">
        <f>D39/$D$46</f>
        <v>0.12376035399455733</v>
      </c>
      <c r="F39" s="690">
        <v>-3026.29</v>
      </c>
      <c r="G39" s="690">
        <f t="shared" ref="G39:G45" si="12">B39+D39</f>
        <v>371546.22</v>
      </c>
      <c r="H39" s="224">
        <f>G39/$G$46</f>
        <v>0.54913120440884344</v>
      </c>
    </row>
    <row r="40" spans="1:68" x14ac:dyDescent="0.2">
      <c r="A40" s="217" t="s">
        <v>26</v>
      </c>
      <c r="B40" s="690">
        <v>47959.28</v>
      </c>
      <c r="C40" s="221">
        <f t="shared" ref="C40:C45" si="13">B40/$B$46</f>
        <v>9.2576725367677568E-2</v>
      </c>
      <c r="D40" s="690">
        <v>27546.48</v>
      </c>
      <c r="E40" s="221">
        <f t="shared" ref="E40:E45" si="14">D40/$D$46</f>
        <v>0.17373084751060447</v>
      </c>
      <c r="F40" s="690">
        <v>-1098.98</v>
      </c>
      <c r="G40" s="690">
        <f t="shared" si="12"/>
        <v>75505.759999999995</v>
      </c>
      <c r="H40" s="224">
        <f t="shared" ref="H40:H45" si="15">G40/$G$46</f>
        <v>0.11159464609438115</v>
      </c>
      <c r="BP40">
        <v>5974908.2901375443</v>
      </c>
    </row>
    <row r="41" spans="1:68" x14ac:dyDescent="0.2">
      <c r="A41" s="217" t="s">
        <v>27</v>
      </c>
      <c r="B41" s="690">
        <v>19471.620000000003</v>
      </c>
      <c r="C41" s="221">
        <f t="shared" si="13"/>
        <v>3.7586444525517862E-2</v>
      </c>
      <c r="D41" s="690">
        <v>20790.18</v>
      </c>
      <c r="E41" s="221">
        <f t="shared" si="14"/>
        <v>0.13112004115582168</v>
      </c>
      <c r="F41" s="690">
        <v>-946.47</v>
      </c>
      <c r="G41" s="690">
        <f t="shared" si="12"/>
        <v>40261.800000000003</v>
      </c>
      <c r="H41" s="224">
        <f t="shared" si="15"/>
        <v>5.9505411535792176E-2</v>
      </c>
      <c r="BP41">
        <v>377275.78999996191</v>
      </c>
    </row>
    <row r="42" spans="1:68" x14ac:dyDescent="0.2">
      <c r="A42" s="217" t="s">
        <v>28</v>
      </c>
      <c r="B42" s="690">
        <v>11624.76</v>
      </c>
      <c r="C42" s="221">
        <f t="shared" si="13"/>
        <v>2.2439498966313996E-2</v>
      </c>
      <c r="D42" s="690">
        <v>13298.580000000002</v>
      </c>
      <c r="E42" s="221">
        <f t="shared" si="14"/>
        <v>8.3871825877120221E-2</v>
      </c>
      <c r="F42" s="690">
        <v>-1625.15</v>
      </c>
      <c r="G42" s="690">
        <f t="shared" si="12"/>
        <v>24923.340000000004</v>
      </c>
      <c r="H42" s="224">
        <f t="shared" si="15"/>
        <v>3.6835750104229584E-2</v>
      </c>
      <c r="BP42">
        <v>1723859.1027311464</v>
      </c>
    </row>
    <row r="43" spans="1:68" x14ac:dyDescent="0.2">
      <c r="A43" s="217" t="s">
        <v>151</v>
      </c>
      <c r="B43" s="690">
        <v>11323.24</v>
      </c>
      <c r="C43" s="221">
        <f t="shared" si="13"/>
        <v>2.1857469081110088E-2</v>
      </c>
      <c r="D43" s="690">
        <v>13827.91</v>
      </c>
      <c r="E43" s="221">
        <f t="shared" si="14"/>
        <v>8.721021791533301E-2</v>
      </c>
      <c r="F43" s="690">
        <v>-2892.7200000000003</v>
      </c>
      <c r="G43" s="690">
        <f t="shared" si="12"/>
        <v>25151.15</v>
      </c>
      <c r="H43" s="224">
        <f t="shared" si="15"/>
        <v>3.7172444633584177E-2</v>
      </c>
      <c r="BP43">
        <v>1886936.4053251962</v>
      </c>
    </row>
    <row r="44" spans="1:68" x14ac:dyDescent="0.2">
      <c r="A44" s="217" t="s">
        <v>152</v>
      </c>
      <c r="B44" s="690">
        <v>20225.129999999997</v>
      </c>
      <c r="C44" s="221">
        <f t="shared" si="13"/>
        <v>3.9040959445921133E-2</v>
      </c>
      <c r="D44" s="690">
        <v>9352.84</v>
      </c>
      <c r="E44" s="221">
        <f t="shared" si="14"/>
        <v>5.8986731510925601E-2</v>
      </c>
      <c r="F44" s="690">
        <v>-2001.15</v>
      </c>
      <c r="G44" s="690">
        <f t="shared" si="12"/>
        <v>29577.969999999998</v>
      </c>
      <c r="H44" s="224">
        <f t="shared" si="15"/>
        <v>4.3715116493632043E-2</v>
      </c>
      <c r="BP44">
        <v>272134.43085956585</v>
      </c>
    </row>
    <row r="45" spans="1:68" ht="13.5" thickBot="1" x14ac:dyDescent="0.25">
      <c r="A45" s="226" t="s">
        <v>153</v>
      </c>
      <c r="B45" s="691">
        <v>55521.99</v>
      </c>
      <c r="C45" s="221">
        <f t="shared" si="13"/>
        <v>0.10717517068848699</v>
      </c>
      <c r="D45" s="691">
        <v>54119.14</v>
      </c>
      <c r="E45" s="221">
        <f t="shared" si="14"/>
        <v>0.34131998203563774</v>
      </c>
      <c r="F45" s="691">
        <v>-23610.5</v>
      </c>
      <c r="G45" s="691">
        <f t="shared" si="12"/>
        <v>109641.13</v>
      </c>
      <c r="H45" s="224">
        <f t="shared" si="15"/>
        <v>0.1620454267295374</v>
      </c>
    </row>
    <row r="46" spans="1:68" ht="13.5" thickBot="1" x14ac:dyDescent="0.25">
      <c r="A46" s="232" t="s">
        <v>24</v>
      </c>
      <c r="B46" s="692">
        <f>SUM(B39:B45)</f>
        <v>518049</v>
      </c>
      <c r="C46" s="235">
        <f>B46/$B$46</f>
        <v>1</v>
      </c>
      <c r="D46" s="692">
        <f>SUM(D39:D45)</f>
        <v>158558.37</v>
      </c>
      <c r="E46" s="235">
        <f>D46/$D$46</f>
        <v>1</v>
      </c>
      <c r="F46" s="692">
        <f>SUM(F39:F45)</f>
        <v>-35201.26</v>
      </c>
      <c r="G46" s="692">
        <f>SUM(G39:G45)</f>
        <v>676607.37</v>
      </c>
      <c r="H46" s="235">
        <f>G46/$G$46</f>
        <v>1</v>
      </c>
      <c r="BP46">
        <v>2105614.8973325035</v>
      </c>
    </row>
    <row r="47" spans="1:68" x14ac:dyDescent="0.2">
      <c r="BP47">
        <v>101118.09985459411</v>
      </c>
    </row>
    <row r="48" spans="1:68" x14ac:dyDescent="0.2">
      <c r="BP48">
        <v>28878</v>
      </c>
    </row>
    <row r="49" spans="1:68" ht="13.5" thickBot="1" x14ac:dyDescent="0.25">
      <c r="A49" s="677" t="s">
        <v>315</v>
      </c>
      <c r="B49" s="678"/>
      <c r="C49" s="679"/>
      <c r="D49" s="680"/>
      <c r="E49" s="680"/>
      <c r="F49" s="680"/>
      <c r="G49" s="680"/>
      <c r="H49" s="680"/>
    </row>
    <row r="50" spans="1:68" x14ac:dyDescent="0.2">
      <c r="A50" s="216" t="s">
        <v>19</v>
      </c>
      <c r="B50" s="689" t="s">
        <v>20</v>
      </c>
      <c r="C50" s="671" t="s">
        <v>21</v>
      </c>
      <c r="D50" s="672" t="s">
        <v>22</v>
      </c>
      <c r="E50" s="672" t="s">
        <v>21</v>
      </c>
      <c r="F50" s="672" t="s">
        <v>23</v>
      </c>
      <c r="G50" s="672" t="s">
        <v>24</v>
      </c>
      <c r="H50" s="672" t="s">
        <v>21</v>
      </c>
    </row>
    <row r="51" spans="1:68" x14ac:dyDescent="0.2">
      <c r="A51" s="217" t="s">
        <v>25</v>
      </c>
      <c r="B51" s="690">
        <v>355907.62</v>
      </c>
      <c r="C51" s="221">
        <f>B51/$B$58</f>
        <v>0.66426605295944163</v>
      </c>
      <c r="D51" s="690">
        <v>10347.740000000002</v>
      </c>
      <c r="E51" s="221">
        <f>D51/$D$58</f>
        <v>7.4052080215847069E-2</v>
      </c>
      <c r="F51" s="690">
        <v>-1536.25</v>
      </c>
      <c r="G51" s="690">
        <f t="shared" ref="G51:G57" si="16">B51+D51</f>
        <v>366255.35999999999</v>
      </c>
      <c r="H51" s="224">
        <f>G51/$G$58</f>
        <v>0.54217743412825614</v>
      </c>
    </row>
    <row r="52" spans="1:68" x14ac:dyDescent="0.2">
      <c r="A52" s="217" t="s">
        <v>26</v>
      </c>
      <c r="B52" s="690">
        <v>69660.350000000006</v>
      </c>
      <c r="C52" s="221">
        <f t="shared" ref="C52:C58" si="17">B52/$B$58</f>
        <v>0.13001409113486595</v>
      </c>
      <c r="D52" s="690">
        <v>21157.760000000002</v>
      </c>
      <c r="E52" s="221">
        <f t="shared" ref="E52:E58" si="18">D52/$D$58</f>
        <v>0.15141239929758965</v>
      </c>
      <c r="F52" s="690">
        <v>-965.5200000000001</v>
      </c>
      <c r="G52" s="690">
        <f t="shared" si="16"/>
        <v>90818.110000000015</v>
      </c>
      <c r="H52" s="224">
        <f t="shared" ref="H52:H58" si="19">G52/$G$58</f>
        <v>0.13444043481623788</v>
      </c>
      <c r="BP52">
        <v>5974908.2901375443</v>
      </c>
    </row>
    <row r="53" spans="1:68" x14ac:dyDescent="0.2">
      <c r="A53" s="217" t="s">
        <v>27</v>
      </c>
      <c r="B53" s="690">
        <v>21249.78</v>
      </c>
      <c r="C53" s="221">
        <f t="shared" si="17"/>
        <v>3.9660593630606956E-2</v>
      </c>
      <c r="D53" s="690">
        <v>18381.629999999997</v>
      </c>
      <c r="E53" s="221">
        <f t="shared" si="18"/>
        <v>0.13154543303736085</v>
      </c>
      <c r="F53" s="690">
        <v>-1705.58</v>
      </c>
      <c r="G53" s="690">
        <f t="shared" si="16"/>
        <v>39631.409999999996</v>
      </c>
      <c r="H53" s="224">
        <f t="shared" si="19"/>
        <v>5.8667417685532061E-2</v>
      </c>
      <c r="BP53">
        <v>377275.78999996191</v>
      </c>
    </row>
    <row r="54" spans="1:68" x14ac:dyDescent="0.2">
      <c r="A54" s="217" t="s">
        <v>28</v>
      </c>
      <c r="B54" s="690">
        <v>18220.350000000002</v>
      </c>
      <c r="C54" s="221">
        <f t="shared" si="17"/>
        <v>3.4006464874338914E-2</v>
      </c>
      <c r="D54" s="690">
        <v>17418.95</v>
      </c>
      <c r="E54" s="221">
        <f t="shared" si="18"/>
        <v>0.12465615512912279</v>
      </c>
      <c r="F54" s="690">
        <v>-4384.51</v>
      </c>
      <c r="G54" s="690">
        <f t="shared" si="16"/>
        <v>35639.300000000003</v>
      </c>
      <c r="H54" s="224">
        <f t="shared" si="19"/>
        <v>5.2757792345010768E-2</v>
      </c>
      <c r="BP54">
        <v>1723859.1027311464</v>
      </c>
    </row>
    <row r="55" spans="1:68" x14ac:dyDescent="0.2">
      <c r="A55" s="217" t="s">
        <v>151</v>
      </c>
      <c r="B55" s="690">
        <v>21823.09</v>
      </c>
      <c r="C55" s="221">
        <f t="shared" si="17"/>
        <v>4.0730619528962772E-2</v>
      </c>
      <c r="D55" s="690">
        <v>9277.44</v>
      </c>
      <c r="E55" s="221">
        <f t="shared" si="18"/>
        <v>6.6392635597503233E-2</v>
      </c>
      <c r="F55" s="690">
        <v>-2182.5500000000002</v>
      </c>
      <c r="G55" s="690">
        <f t="shared" si="16"/>
        <v>31100.53</v>
      </c>
      <c r="H55" s="224">
        <f t="shared" si="19"/>
        <v>4.6038931840967065E-2</v>
      </c>
      <c r="BP55">
        <v>1886936.4053251962</v>
      </c>
    </row>
    <row r="56" spans="1:68" x14ac:dyDescent="0.2">
      <c r="A56" s="217" t="s">
        <v>152</v>
      </c>
      <c r="B56" s="690">
        <v>13522.73</v>
      </c>
      <c r="C56" s="221">
        <f t="shared" si="17"/>
        <v>2.5238825969323808E-2</v>
      </c>
      <c r="D56" s="690">
        <v>9302.93</v>
      </c>
      <c r="E56" s="221">
        <f t="shared" si="18"/>
        <v>6.6575051035531435E-2</v>
      </c>
      <c r="F56" s="690">
        <v>-6815.38</v>
      </c>
      <c r="G56" s="690">
        <f t="shared" si="16"/>
        <v>22825.66</v>
      </c>
      <c r="H56" s="224">
        <f t="shared" si="19"/>
        <v>3.378942432701592E-2</v>
      </c>
      <c r="BP56">
        <v>272134.43085956585</v>
      </c>
    </row>
    <row r="57" spans="1:68" ht="13.5" thickBot="1" x14ac:dyDescent="0.25">
      <c r="A57" s="226" t="s">
        <v>153</v>
      </c>
      <c r="B57" s="691">
        <v>35406.85</v>
      </c>
      <c r="C57" s="221">
        <f t="shared" si="17"/>
        <v>6.608335190245998E-2</v>
      </c>
      <c r="D57" s="691">
        <v>53849.53</v>
      </c>
      <c r="E57" s="221">
        <f t="shared" si="18"/>
        <v>0.38536624568704492</v>
      </c>
      <c r="F57" s="691">
        <v>-30562.760000000002</v>
      </c>
      <c r="G57" s="691">
        <f t="shared" si="16"/>
        <v>89256.38</v>
      </c>
      <c r="H57" s="224">
        <f t="shared" si="19"/>
        <v>0.13212856485698013</v>
      </c>
    </row>
    <row r="58" spans="1:68" ht="13.5" thickBot="1" x14ac:dyDescent="0.25">
      <c r="A58" s="232" t="s">
        <v>24</v>
      </c>
      <c r="B58" s="692">
        <f>SUM(B51:B57)</f>
        <v>535790.77</v>
      </c>
      <c r="C58" s="235">
        <f t="shared" si="17"/>
        <v>1</v>
      </c>
      <c r="D58" s="692">
        <f>SUM(D51:D57)</f>
        <v>139735.98000000001</v>
      </c>
      <c r="E58" s="235">
        <f t="shared" si="18"/>
        <v>1</v>
      </c>
      <c r="F58" s="692">
        <f>SUM(F51:F57)</f>
        <v>-48152.55</v>
      </c>
      <c r="G58" s="692">
        <f>SUM(G51:G57)</f>
        <v>675526.75</v>
      </c>
      <c r="H58" s="235">
        <f t="shared" si="19"/>
        <v>1</v>
      </c>
      <c r="BP58">
        <v>2105614.8973325035</v>
      </c>
    </row>
    <row r="59" spans="1:68" x14ac:dyDescent="0.2">
      <c r="BP59">
        <v>101118.09985459411</v>
      </c>
    </row>
    <row r="60" spans="1:68" x14ac:dyDescent="0.2">
      <c r="BP60">
        <v>28878</v>
      </c>
    </row>
    <row r="61" spans="1:68" ht="13.5" thickBot="1" x14ac:dyDescent="0.25">
      <c r="A61" s="677" t="s">
        <v>308</v>
      </c>
      <c r="B61" s="678"/>
      <c r="C61" s="679"/>
      <c r="D61" s="680"/>
      <c r="E61" s="680"/>
      <c r="F61" s="680"/>
      <c r="G61" s="680"/>
      <c r="H61" s="680"/>
    </row>
    <row r="62" spans="1:68" x14ac:dyDescent="0.2">
      <c r="A62" s="216" t="s">
        <v>19</v>
      </c>
      <c r="B62" s="689" t="s">
        <v>20</v>
      </c>
      <c r="C62" s="671" t="s">
        <v>21</v>
      </c>
      <c r="D62" s="672" t="s">
        <v>22</v>
      </c>
      <c r="E62" s="672" t="s">
        <v>21</v>
      </c>
      <c r="F62" s="672" t="s">
        <v>23</v>
      </c>
      <c r="G62" s="672" t="s">
        <v>24</v>
      </c>
      <c r="H62" s="672" t="s">
        <v>21</v>
      </c>
    </row>
    <row r="63" spans="1:68" x14ac:dyDescent="0.2">
      <c r="A63" s="217" t="s">
        <v>25</v>
      </c>
      <c r="B63" s="690">
        <v>378032.72</v>
      </c>
      <c r="C63" s="221">
        <f>B63/$B$70</f>
        <v>0.65345400235838458</v>
      </c>
      <c r="D63" s="690">
        <v>16539.990000000002</v>
      </c>
      <c r="E63" s="221">
        <f>D63/$D$70</f>
        <v>0.106100343658836</v>
      </c>
      <c r="F63" s="690">
        <v>-1563.33</v>
      </c>
      <c r="G63" s="690">
        <f t="shared" ref="G63:G69" si="20">B63+D63</f>
        <v>394572.70999999996</v>
      </c>
      <c r="H63" s="224">
        <f>G63/$G$70</f>
        <v>0.53726874825547477</v>
      </c>
    </row>
    <row r="64" spans="1:68" x14ac:dyDescent="0.2">
      <c r="A64" s="217" t="s">
        <v>26</v>
      </c>
      <c r="B64" s="690">
        <v>72569.22</v>
      </c>
      <c r="C64" s="221">
        <f t="shared" ref="C64:C69" si="21">B64/$B$70</f>
        <v>0.12544058952628792</v>
      </c>
      <c r="D64" s="690">
        <v>27941.299999999996</v>
      </c>
      <c r="E64" s="221">
        <f t="shared" ref="E64:E70" si="22">D64/$D$70</f>
        <v>0.17923720221563821</v>
      </c>
      <c r="F64" s="690">
        <v>-1165.27</v>
      </c>
      <c r="G64" s="690">
        <f t="shared" si="20"/>
        <v>100510.51999999999</v>
      </c>
      <c r="H64" s="224">
        <f t="shared" ref="H64:H70" si="23">G64/$G$70</f>
        <v>0.13685984838360174</v>
      </c>
    </row>
    <row r="65" spans="1:8" x14ac:dyDescent="0.2">
      <c r="A65" s="217" t="s">
        <v>27</v>
      </c>
      <c r="B65" s="690">
        <v>40970.589999999997</v>
      </c>
      <c r="C65" s="221">
        <f t="shared" si="21"/>
        <v>7.0820314216410704E-2</v>
      </c>
      <c r="D65" s="690">
        <v>22438.949999999997</v>
      </c>
      <c r="E65" s="221">
        <f t="shared" si="22"/>
        <v>0.14394085524498126</v>
      </c>
      <c r="F65" s="690">
        <v>-2449.4500000000003</v>
      </c>
      <c r="G65" s="690">
        <f t="shared" si="20"/>
        <v>63409.539999999994</v>
      </c>
      <c r="H65" s="224">
        <f t="shared" si="23"/>
        <v>8.63414101377043E-2</v>
      </c>
    </row>
    <row r="66" spans="1:8" x14ac:dyDescent="0.2">
      <c r="A66" s="217" t="s">
        <v>28</v>
      </c>
      <c r="B66" s="690">
        <v>25004.65</v>
      </c>
      <c r="C66" s="221">
        <f t="shared" si="21"/>
        <v>4.3222154474011093E-2</v>
      </c>
      <c r="D66" s="690">
        <v>11652.34</v>
      </c>
      <c r="E66" s="221">
        <f t="shared" si="22"/>
        <v>7.4747159969842852E-2</v>
      </c>
      <c r="F66" s="690">
        <v>-2491.09</v>
      </c>
      <c r="G66" s="690">
        <f t="shared" si="20"/>
        <v>36656.990000000005</v>
      </c>
      <c r="H66" s="224">
        <f t="shared" si="23"/>
        <v>4.9913880592789756E-2</v>
      </c>
    </row>
    <row r="67" spans="1:8" x14ac:dyDescent="0.2">
      <c r="A67" s="217" t="s">
        <v>151</v>
      </c>
      <c r="B67" s="690">
        <v>15636.29</v>
      </c>
      <c r="C67" s="221">
        <f t="shared" si="21"/>
        <v>2.7028338400274944E-2</v>
      </c>
      <c r="D67" s="690">
        <v>11227.720000000001</v>
      </c>
      <c r="E67" s="221">
        <f t="shared" si="22"/>
        <v>7.2023317456974656E-2</v>
      </c>
      <c r="F67" s="690">
        <v>-8853.869999999999</v>
      </c>
      <c r="G67" s="690">
        <f t="shared" si="20"/>
        <v>26864.010000000002</v>
      </c>
      <c r="H67" s="224">
        <f t="shared" si="23"/>
        <v>3.6579298719930625E-2</v>
      </c>
    </row>
    <row r="68" spans="1:8" x14ac:dyDescent="0.2">
      <c r="A68" s="217" t="s">
        <v>152</v>
      </c>
      <c r="B68" s="690">
        <v>14689.880000000001</v>
      </c>
      <c r="C68" s="221">
        <f t="shared" si="21"/>
        <v>2.5392407514789692E-2</v>
      </c>
      <c r="D68" s="690">
        <v>11257.3</v>
      </c>
      <c r="E68" s="221">
        <f t="shared" si="22"/>
        <v>7.2213066553886332E-2</v>
      </c>
      <c r="F68" s="690">
        <v>-13429.95</v>
      </c>
      <c r="G68" s="690">
        <f t="shared" si="20"/>
        <v>25947.18</v>
      </c>
      <c r="H68" s="224">
        <f t="shared" si="23"/>
        <v>3.5330899897662693E-2</v>
      </c>
    </row>
    <row r="69" spans="1:8" ht="13.5" thickBot="1" x14ac:dyDescent="0.25">
      <c r="A69" s="226" t="s">
        <v>153</v>
      </c>
      <c r="B69" s="691">
        <v>31611.309999999998</v>
      </c>
      <c r="C69" s="221">
        <f t="shared" si="21"/>
        <v>5.4642193509841223E-2</v>
      </c>
      <c r="D69" s="691">
        <v>54832.47</v>
      </c>
      <c r="E69" s="221">
        <f t="shared" si="22"/>
        <v>0.35173805489984061</v>
      </c>
      <c r="F69" s="691">
        <v>-15323.04</v>
      </c>
      <c r="G69" s="691">
        <f t="shared" si="20"/>
        <v>86443.78</v>
      </c>
      <c r="H69" s="224">
        <f t="shared" si="23"/>
        <v>0.11770591401283594</v>
      </c>
    </row>
    <row r="70" spans="1:8" ht="13.5" thickBot="1" x14ac:dyDescent="0.25">
      <c r="A70" s="232" t="s">
        <v>24</v>
      </c>
      <c r="B70" s="692">
        <f>SUM(B63:B69)</f>
        <v>578514.65999999992</v>
      </c>
      <c r="C70" s="234">
        <f>B70/$B$70</f>
        <v>1</v>
      </c>
      <c r="D70" s="692">
        <f>SUM(D63:D69)</f>
        <v>155890.07</v>
      </c>
      <c r="E70" s="235">
        <f t="shared" si="22"/>
        <v>1</v>
      </c>
      <c r="F70" s="692">
        <f>SUM(F63:F69)</f>
        <v>-45276</v>
      </c>
      <c r="G70" s="692">
        <f>SUM(G63:G69)</f>
        <v>734404.7300000001</v>
      </c>
      <c r="H70" s="235">
        <f t="shared" si="23"/>
        <v>1</v>
      </c>
    </row>
    <row r="73" spans="1:8" ht="13.5" thickBot="1" x14ac:dyDescent="0.25">
      <c r="A73" s="677" t="s">
        <v>302</v>
      </c>
      <c r="B73" s="678"/>
      <c r="C73" s="679"/>
      <c r="D73" s="680"/>
      <c r="E73" s="680"/>
      <c r="F73" s="680"/>
      <c r="G73" s="680"/>
      <c r="H73" s="680"/>
    </row>
    <row r="74" spans="1:8" x14ac:dyDescent="0.2">
      <c r="A74" s="216" t="s">
        <v>19</v>
      </c>
      <c r="B74" s="689" t="s">
        <v>20</v>
      </c>
      <c r="C74" s="671" t="s">
        <v>21</v>
      </c>
      <c r="D74" s="672" t="s">
        <v>22</v>
      </c>
      <c r="E74" s="672" t="s">
        <v>21</v>
      </c>
      <c r="F74" s="672" t="s">
        <v>23</v>
      </c>
      <c r="G74" s="672" t="s">
        <v>24</v>
      </c>
      <c r="H74" s="672" t="s">
        <v>21</v>
      </c>
    </row>
    <row r="75" spans="1:8" x14ac:dyDescent="0.2">
      <c r="A75" s="217" t="s">
        <v>25</v>
      </c>
      <c r="B75" s="690">
        <v>391468.95</v>
      </c>
      <c r="C75" s="221">
        <f>B75/$B$82</f>
        <v>0.6532520984822523</v>
      </c>
      <c r="D75" s="690">
        <v>729</v>
      </c>
      <c r="E75" s="221">
        <f>D75/$D$82</f>
        <v>5.6904214049767537E-3</v>
      </c>
      <c r="F75" s="690">
        <v>-2355.33</v>
      </c>
      <c r="G75" s="690">
        <f t="shared" ref="G75:G81" si="24">B75+D75</f>
        <v>392197.95</v>
      </c>
      <c r="H75" s="224">
        <f>G75/$G$82</f>
        <v>0.53919880303289225</v>
      </c>
    </row>
    <row r="76" spans="1:8" x14ac:dyDescent="0.2">
      <c r="A76" s="217" t="s">
        <v>26</v>
      </c>
      <c r="B76" s="690">
        <v>85764.01</v>
      </c>
      <c r="C76" s="221">
        <f t="shared" ref="C76:C81" si="25">B76/$B$82</f>
        <v>0.14311612583003805</v>
      </c>
      <c r="D76" s="690">
        <v>26679.190000000002</v>
      </c>
      <c r="E76" s="221">
        <f t="shared" ref="E76:E81" si="26">D76/$D$82</f>
        <v>0.20825217262474865</v>
      </c>
      <c r="F76" s="690">
        <v>-1133.42</v>
      </c>
      <c r="G76" s="690">
        <f t="shared" si="24"/>
        <v>112443.2</v>
      </c>
      <c r="H76" s="224">
        <f t="shared" ref="H76:H81" si="27">G76/$G$82</f>
        <v>0.15458836245622423</v>
      </c>
    </row>
    <row r="77" spans="1:8" x14ac:dyDescent="0.2">
      <c r="A77" s="217" t="s">
        <v>27</v>
      </c>
      <c r="B77" s="690">
        <v>35058.559999999998</v>
      </c>
      <c r="C77" s="221">
        <f t="shared" si="25"/>
        <v>5.8502923130342652E-2</v>
      </c>
      <c r="D77" s="690">
        <v>13640.96</v>
      </c>
      <c r="E77" s="221">
        <f t="shared" si="26"/>
        <v>0.10647847842034525</v>
      </c>
      <c r="F77" s="690">
        <v>-1526.93</v>
      </c>
      <c r="G77" s="690">
        <f t="shared" si="24"/>
        <v>48699.519999999997</v>
      </c>
      <c r="H77" s="224">
        <f t="shared" si="27"/>
        <v>6.6952728570550638E-2</v>
      </c>
    </row>
    <row r="78" spans="1:8" x14ac:dyDescent="0.2">
      <c r="A78" s="217" t="s">
        <v>28</v>
      </c>
      <c r="B78" s="690">
        <v>21086.68</v>
      </c>
      <c r="C78" s="221">
        <f t="shared" si="25"/>
        <v>3.5187766386130345E-2</v>
      </c>
      <c r="D78" s="690">
        <v>9571.85</v>
      </c>
      <c r="E78" s="221">
        <f t="shared" si="26"/>
        <v>7.4715857510599087E-2</v>
      </c>
      <c r="F78" s="690">
        <v>-5995.3799999999992</v>
      </c>
      <c r="G78" s="690">
        <f t="shared" si="24"/>
        <v>30658.53</v>
      </c>
      <c r="H78" s="224">
        <f t="shared" si="27"/>
        <v>4.214974269689073E-2</v>
      </c>
    </row>
    <row r="79" spans="1:8" x14ac:dyDescent="0.2">
      <c r="A79" s="217" t="s">
        <v>151</v>
      </c>
      <c r="B79" s="690">
        <v>22745.08</v>
      </c>
      <c r="C79" s="221">
        <f t="shared" si="25"/>
        <v>3.7955171770702907E-2</v>
      </c>
      <c r="D79" s="690">
        <v>10053.89</v>
      </c>
      <c r="E79" s="221">
        <f t="shared" si="26"/>
        <v>7.8478560849494824E-2</v>
      </c>
      <c r="F79" s="690">
        <v>-9530.2000000000007</v>
      </c>
      <c r="G79" s="690">
        <f t="shared" si="24"/>
        <v>32798.97</v>
      </c>
      <c r="H79" s="224">
        <f t="shared" si="27"/>
        <v>4.5092447231587368E-2</v>
      </c>
    </row>
    <row r="80" spans="1:8" x14ac:dyDescent="0.2">
      <c r="A80" s="217" t="s">
        <v>152</v>
      </c>
      <c r="B80" s="690">
        <v>15196.23</v>
      </c>
      <c r="C80" s="221">
        <f t="shared" si="25"/>
        <v>2.5358254177039984E-2</v>
      </c>
      <c r="D80" s="690">
        <v>7421.3899999999994</v>
      </c>
      <c r="E80" s="221">
        <f t="shared" si="26"/>
        <v>5.7929816887078774E-2</v>
      </c>
      <c r="F80" s="690">
        <v>-10767.57</v>
      </c>
      <c r="G80" s="690">
        <f t="shared" si="24"/>
        <v>22617.62</v>
      </c>
      <c r="H80" s="224">
        <f t="shared" si="27"/>
        <v>3.109499585975093E-2</v>
      </c>
    </row>
    <row r="81" spans="1:8" ht="13.5" thickBot="1" x14ac:dyDescent="0.25">
      <c r="A81" s="226" t="s">
        <v>153</v>
      </c>
      <c r="B81" s="691">
        <v>27942.17</v>
      </c>
      <c r="C81" s="221">
        <f t="shared" si="25"/>
        <v>4.6627660223493676E-2</v>
      </c>
      <c r="D81" s="691">
        <v>60013.740000000005</v>
      </c>
      <c r="E81" s="221">
        <f t="shared" si="26"/>
        <v>0.46845469230275666</v>
      </c>
      <c r="F81" s="691">
        <v>-4698.25</v>
      </c>
      <c r="G81" s="691">
        <f t="shared" si="24"/>
        <v>87955.91</v>
      </c>
      <c r="H81" s="224">
        <f t="shared" si="27"/>
        <v>0.12092292015210379</v>
      </c>
    </row>
    <row r="82" spans="1:8" ht="13.5" thickBot="1" x14ac:dyDescent="0.25">
      <c r="A82" s="232" t="s">
        <v>24</v>
      </c>
      <c r="B82" s="692">
        <f>SUM(B75:B81)</f>
        <v>599261.68000000005</v>
      </c>
      <c r="C82" s="234">
        <f>B82/$B$82</f>
        <v>1</v>
      </c>
      <c r="D82" s="692">
        <f>SUM(D75:D81)</f>
        <v>128110.02</v>
      </c>
      <c r="E82" s="235">
        <f>SUM(E75:E81)</f>
        <v>1</v>
      </c>
      <c r="F82" s="692">
        <f>SUM(F75:F81)</f>
        <v>-36007.08</v>
      </c>
      <c r="G82" s="692">
        <f>SUM(G75:G81)</f>
        <v>727371.70000000007</v>
      </c>
      <c r="H82" s="235">
        <f>SUM(H75:H81)</f>
        <v>1</v>
      </c>
    </row>
    <row r="85" spans="1:8" ht="13.5" thickBot="1" x14ac:dyDescent="0.25">
      <c r="A85" s="677" t="s">
        <v>301</v>
      </c>
      <c r="B85" s="678"/>
      <c r="C85" s="679"/>
      <c r="D85" s="680"/>
      <c r="E85" s="680"/>
      <c r="F85" s="680"/>
      <c r="G85" s="680"/>
      <c r="H85" s="680"/>
    </row>
    <row r="86" spans="1:8" x14ac:dyDescent="0.2">
      <c r="A86" s="216" t="s">
        <v>19</v>
      </c>
      <c r="B86" s="689" t="s">
        <v>20</v>
      </c>
      <c r="C86" s="671" t="s">
        <v>21</v>
      </c>
      <c r="D86" s="672" t="s">
        <v>22</v>
      </c>
      <c r="E86" s="672" t="s">
        <v>21</v>
      </c>
      <c r="F86" s="672" t="s">
        <v>23</v>
      </c>
      <c r="G86" s="672" t="s">
        <v>24</v>
      </c>
      <c r="H86" s="672" t="s">
        <v>21</v>
      </c>
    </row>
    <row r="87" spans="1:8" x14ac:dyDescent="0.2">
      <c r="A87" s="217" t="s">
        <v>25</v>
      </c>
      <c r="B87" s="690">
        <v>372864.37</v>
      </c>
      <c r="C87" s="221">
        <f>B87/$B$94</f>
        <v>0.66021959383637718</v>
      </c>
      <c r="D87" s="690">
        <v>9515.52</v>
      </c>
      <c r="E87" s="224">
        <f>D87/$D$94</f>
        <v>6.322579444866E-2</v>
      </c>
      <c r="F87" s="690">
        <v>-581.27</v>
      </c>
      <c r="G87" s="690">
        <f t="shared" ref="G87:G93" si="28">B87+D87</f>
        <v>382379.89</v>
      </c>
      <c r="H87" s="224">
        <f>G87/$G$94</f>
        <v>0.53460361216712771</v>
      </c>
    </row>
    <row r="88" spans="1:8" x14ac:dyDescent="0.2">
      <c r="A88" s="217" t="s">
        <v>26</v>
      </c>
      <c r="B88" s="690">
        <v>78675.350000000006</v>
      </c>
      <c r="C88" s="221">
        <f t="shared" ref="C88:C93" si="29">B88/$B$94</f>
        <v>0.13930804818367284</v>
      </c>
      <c r="D88" s="690">
        <v>21430.260000000002</v>
      </c>
      <c r="E88" s="224">
        <f t="shared" ref="E88:E93" si="30">D88/$D$94</f>
        <v>0.14239318647234628</v>
      </c>
      <c r="F88" s="690">
        <v>-894.77</v>
      </c>
      <c r="G88" s="690">
        <f t="shared" si="28"/>
        <v>100105.61000000002</v>
      </c>
      <c r="H88" s="224">
        <f t="shared" ref="H88:H93" si="31">G88/$G$94</f>
        <v>0.13995720513490847</v>
      </c>
    </row>
    <row r="89" spans="1:8" x14ac:dyDescent="0.2">
      <c r="A89" s="217" t="s">
        <v>27</v>
      </c>
      <c r="B89" s="690">
        <v>31390.399999999998</v>
      </c>
      <c r="C89" s="221">
        <f t="shared" si="29"/>
        <v>5.5582026081927353E-2</v>
      </c>
      <c r="D89" s="690">
        <v>17624.68</v>
      </c>
      <c r="E89" s="224">
        <f t="shared" si="30"/>
        <v>0.11710704143372183</v>
      </c>
      <c r="F89" s="690">
        <v>-442.92</v>
      </c>
      <c r="G89" s="690">
        <f t="shared" si="28"/>
        <v>49015.08</v>
      </c>
      <c r="H89" s="224">
        <f t="shared" si="31"/>
        <v>6.8527763891193999E-2</v>
      </c>
    </row>
    <row r="90" spans="1:8" x14ac:dyDescent="0.2">
      <c r="A90" s="217" t="s">
        <v>28</v>
      </c>
      <c r="B90" s="690">
        <v>25203.88</v>
      </c>
      <c r="C90" s="221">
        <f t="shared" si="29"/>
        <v>4.4627743371405508E-2</v>
      </c>
      <c r="D90" s="690">
        <v>21211.15</v>
      </c>
      <c r="E90" s="224">
        <f t="shared" si="30"/>
        <v>0.14093731187782638</v>
      </c>
      <c r="F90" s="690">
        <v>-490.5</v>
      </c>
      <c r="G90" s="690">
        <f t="shared" si="28"/>
        <v>46415.03</v>
      </c>
      <c r="H90" s="224">
        <f t="shared" si="31"/>
        <v>6.4892645627482121E-2</v>
      </c>
    </row>
    <row r="91" spans="1:8" x14ac:dyDescent="0.2">
      <c r="A91" s="217" t="s">
        <v>151</v>
      </c>
      <c r="B91" s="690">
        <v>19040.260000000002</v>
      </c>
      <c r="C91" s="221">
        <f t="shared" si="29"/>
        <v>3.3714008994045259E-2</v>
      </c>
      <c r="D91" s="690">
        <v>13518.77</v>
      </c>
      <c r="E91" s="224">
        <f t="shared" si="30"/>
        <v>8.9825356177981999E-2</v>
      </c>
      <c r="F91" s="690">
        <v>-647.18000000000006</v>
      </c>
      <c r="G91" s="690">
        <f t="shared" si="28"/>
        <v>32559.030000000002</v>
      </c>
      <c r="H91" s="224">
        <f t="shared" si="31"/>
        <v>4.5520634065399926E-2</v>
      </c>
    </row>
    <row r="92" spans="1:8" x14ac:dyDescent="0.2">
      <c r="A92" s="217" t="s">
        <v>152</v>
      </c>
      <c r="B92" s="690">
        <v>6045.46</v>
      </c>
      <c r="C92" s="221">
        <f t="shared" si="29"/>
        <v>1.0704512060924633E-2</v>
      </c>
      <c r="D92" s="690">
        <v>12103.67</v>
      </c>
      <c r="E92" s="224">
        <f t="shared" si="30"/>
        <v>8.0422735856202548E-2</v>
      </c>
      <c r="F92" s="690">
        <v>-520.62</v>
      </c>
      <c r="G92" s="690">
        <f t="shared" si="28"/>
        <v>18149.13</v>
      </c>
      <c r="H92" s="224">
        <f t="shared" si="31"/>
        <v>2.5374217393312137E-2</v>
      </c>
    </row>
    <row r="93" spans="1:8" ht="13.5" thickBot="1" x14ac:dyDescent="0.25">
      <c r="A93" s="226" t="s">
        <v>153</v>
      </c>
      <c r="B93" s="691">
        <v>31538.39</v>
      </c>
      <c r="C93" s="221">
        <f t="shared" si="29"/>
        <v>5.5844067471647288E-2</v>
      </c>
      <c r="D93" s="691">
        <v>55096.55</v>
      </c>
      <c r="E93" s="224">
        <f t="shared" si="30"/>
        <v>0.36608857373326081</v>
      </c>
      <c r="F93" s="691">
        <v>-4654.37</v>
      </c>
      <c r="G93" s="691">
        <f t="shared" si="28"/>
        <v>86634.94</v>
      </c>
      <c r="H93" s="224">
        <f t="shared" si="31"/>
        <v>0.12112392172057578</v>
      </c>
    </row>
    <row r="94" spans="1:8" ht="13.5" thickBot="1" x14ac:dyDescent="0.25">
      <c r="A94" s="232" t="s">
        <v>24</v>
      </c>
      <c r="B94" s="692">
        <f t="shared" ref="B94:H94" si="32">SUM(B87:B93)</f>
        <v>564758.11</v>
      </c>
      <c r="C94" s="234">
        <f t="shared" si="32"/>
        <v>1</v>
      </c>
      <c r="D94" s="692">
        <f t="shared" si="32"/>
        <v>150500.60000000003</v>
      </c>
      <c r="E94" s="235">
        <f t="shared" si="32"/>
        <v>0.99999999999999978</v>
      </c>
      <c r="F94" s="692">
        <f t="shared" si="32"/>
        <v>-8231.630000000001</v>
      </c>
      <c r="G94" s="692">
        <f t="shared" si="32"/>
        <v>715258.71</v>
      </c>
      <c r="H94" s="772">
        <f t="shared" si="32"/>
        <v>1.0000000000000002</v>
      </c>
    </row>
    <row r="97" spans="1:8" ht="13.5" thickBot="1" x14ac:dyDescent="0.25">
      <c r="A97" s="677" t="s">
        <v>300</v>
      </c>
      <c r="B97" s="678"/>
      <c r="C97" s="679"/>
      <c r="D97" s="680"/>
      <c r="E97" s="680"/>
      <c r="F97" s="680"/>
      <c r="G97" s="680"/>
      <c r="H97" s="680"/>
    </row>
    <row r="98" spans="1:8" x14ac:dyDescent="0.2">
      <c r="A98" s="216" t="s">
        <v>19</v>
      </c>
      <c r="B98" s="689" t="s">
        <v>20</v>
      </c>
      <c r="C98" s="671" t="s">
        <v>21</v>
      </c>
      <c r="D98" s="672" t="s">
        <v>22</v>
      </c>
      <c r="E98" s="672" t="s">
        <v>21</v>
      </c>
      <c r="F98" s="672" t="s">
        <v>23</v>
      </c>
      <c r="G98" s="672" t="s">
        <v>24</v>
      </c>
      <c r="H98" s="672" t="s">
        <v>21</v>
      </c>
    </row>
    <row r="99" spans="1:8" x14ac:dyDescent="0.2">
      <c r="A99" s="217" t="s">
        <v>25</v>
      </c>
      <c r="B99" s="690">
        <v>372622.09</v>
      </c>
      <c r="C99" s="221">
        <f>B99/$B$106</f>
        <v>0.67503401373730532</v>
      </c>
      <c r="D99" s="690">
        <v>5913.5</v>
      </c>
      <c r="E99" s="224">
        <f>D99/$D$106</f>
        <v>4.3198511753377439E-2</v>
      </c>
      <c r="F99" s="690">
        <v>-1982.39</v>
      </c>
      <c r="G99" s="690">
        <f t="shared" ref="G99:G105" si="33">B99+D99</f>
        <v>378535.59</v>
      </c>
      <c r="H99" s="224">
        <f>G99/$G$106</f>
        <v>0.54948131518217125</v>
      </c>
    </row>
    <row r="100" spans="1:8" x14ac:dyDescent="0.2">
      <c r="A100" s="217" t="s">
        <v>26</v>
      </c>
      <c r="B100" s="690">
        <v>72516.89</v>
      </c>
      <c r="C100" s="221">
        <f t="shared" ref="C100:C105" si="34">B100/$B$106</f>
        <v>0.13137000900952131</v>
      </c>
      <c r="D100" s="690">
        <v>22299.23</v>
      </c>
      <c r="E100" s="224">
        <f t="shared" ref="E100:E105" si="35">D100/$D$106</f>
        <v>0.16289736184091769</v>
      </c>
      <c r="F100" s="690">
        <v>-818.2</v>
      </c>
      <c r="G100" s="690">
        <f t="shared" si="33"/>
        <v>94816.12</v>
      </c>
      <c r="H100" s="224">
        <f t="shared" ref="H100:H105" si="36">G100/$G$106</f>
        <v>0.13763484252054228</v>
      </c>
    </row>
    <row r="101" spans="1:8" x14ac:dyDescent="0.2">
      <c r="A101" s="217" t="s">
        <v>27</v>
      </c>
      <c r="B101" s="690">
        <v>35971.21</v>
      </c>
      <c r="C101" s="221">
        <f t="shared" si="34"/>
        <v>6.5164655872354468E-2</v>
      </c>
      <c r="D101" s="690">
        <v>21912.18</v>
      </c>
      <c r="E101" s="224">
        <f t="shared" si="35"/>
        <v>0.16006993578627243</v>
      </c>
      <c r="F101" s="690">
        <v>-251.49</v>
      </c>
      <c r="G101" s="690">
        <f t="shared" si="33"/>
        <v>57883.39</v>
      </c>
      <c r="H101" s="224">
        <f t="shared" si="36"/>
        <v>8.4023384074407736E-2</v>
      </c>
    </row>
    <row r="102" spans="1:8" x14ac:dyDescent="0.2">
      <c r="A102" s="217" t="s">
        <v>28</v>
      </c>
      <c r="B102" s="690">
        <v>21749.1</v>
      </c>
      <c r="C102" s="221">
        <f t="shared" si="34"/>
        <v>3.940019301639907E-2</v>
      </c>
      <c r="D102" s="690">
        <v>14409.75</v>
      </c>
      <c r="E102" s="224">
        <f t="shared" si="35"/>
        <v>0.10526418444884257</v>
      </c>
      <c r="F102" s="690">
        <v>-444.23</v>
      </c>
      <c r="G102" s="690">
        <f t="shared" si="33"/>
        <v>36158.85</v>
      </c>
      <c r="H102" s="224">
        <f t="shared" si="36"/>
        <v>5.2488096174721242E-2</v>
      </c>
    </row>
    <row r="103" spans="1:8" x14ac:dyDescent="0.2">
      <c r="A103" s="217" t="s">
        <v>151</v>
      </c>
      <c r="B103" s="690">
        <v>11458.81</v>
      </c>
      <c r="C103" s="221">
        <f t="shared" si="34"/>
        <v>2.0758529122503637E-2</v>
      </c>
      <c r="D103" s="690">
        <v>12341.029999999999</v>
      </c>
      <c r="E103" s="224">
        <f t="shared" si="35"/>
        <v>9.0152046927163873E-2</v>
      </c>
      <c r="F103" s="690">
        <v>-764.45</v>
      </c>
      <c r="G103" s="690">
        <f t="shared" si="33"/>
        <v>23799.839999999997</v>
      </c>
      <c r="H103" s="224">
        <f t="shared" si="36"/>
        <v>3.4547788186376986E-2</v>
      </c>
    </row>
    <row r="104" spans="1:8" x14ac:dyDescent="0.2">
      <c r="A104" s="217" t="s">
        <v>152</v>
      </c>
      <c r="B104" s="690">
        <v>10541.93</v>
      </c>
      <c r="C104" s="221">
        <f t="shared" si="34"/>
        <v>1.9097529404222147E-2</v>
      </c>
      <c r="D104" s="690">
        <v>13602.310000000001</v>
      </c>
      <c r="E104" s="224">
        <f t="shared" si="35"/>
        <v>9.9365781416772395E-2</v>
      </c>
      <c r="F104" s="690">
        <v>-513.96</v>
      </c>
      <c r="G104" s="690">
        <f t="shared" si="33"/>
        <v>24144.240000000002</v>
      </c>
      <c r="H104" s="224">
        <f t="shared" si="36"/>
        <v>3.5047718364537364E-2</v>
      </c>
    </row>
    <row r="105" spans="1:8" ht="13.5" thickBot="1" x14ac:dyDescent="0.25">
      <c r="A105" s="226" t="s">
        <v>153</v>
      </c>
      <c r="B105" s="691">
        <v>27144.880000000001</v>
      </c>
      <c r="C105" s="221">
        <f t="shared" si="34"/>
        <v>4.9175069837694013E-2</v>
      </c>
      <c r="D105" s="691">
        <v>46413.29</v>
      </c>
      <c r="E105" s="224">
        <f t="shared" si="35"/>
        <v>0.33905217782665353</v>
      </c>
      <c r="F105" s="691">
        <v>-3527.9300000000003</v>
      </c>
      <c r="G105" s="691">
        <f t="shared" si="33"/>
        <v>73558.17</v>
      </c>
      <c r="H105" s="224">
        <f t="shared" si="36"/>
        <v>0.10677685549724328</v>
      </c>
    </row>
    <row r="106" spans="1:8" ht="13.5" thickBot="1" x14ac:dyDescent="0.25">
      <c r="A106" s="232" t="s">
        <v>24</v>
      </c>
      <c r="B106" s="692">
        <f t="shared" ref="B106:H106" si="37">SUM(B99:B105)</f>
        <v>552004.91</v>
      </c>
      <c r="C106" s="234">
        <f t="shared" si="37"/>
        <v>1</v>
      </c>
      <c r="D106" s="692">
        <f t="shared" si="37"/>
        <v>136891.29</v>
      </c>
      <c r="E106" s="235">
        <f t="shared" si="37"/>
        <v>0.99999999999999989</v>
      </c>
      <c r="F106" s="692">
        <f t="shared" si="37"/>
        <v>-8302.6500000000015</v>
      </c>
      <c r="G106" s="692">
        <f t="shared" si="37"/>
        <v>688896.2</v>
      </c>
      <c r="H106" s="235">
        <f t="shared" si="37"/>
        <v>1</v>
      </c>
    </row>
    <row r="108" spans="1:8" ht="13.5" thickBot="1" x14ac:dyDescent="0.25">
      <c r="A108" s="22" t="s">
        <v>296</v>
      </c>
    </row>
    <row r="109" spans="1:8" x14ac:dyDescent="0.2">
      <c r="A109" s="216" t="s">
        <v>19</v>
      </c>
      <c r="B109" s="218" t="s">
        <v>20</v>
      </c>
      <c r="C109" s="220" t="s">
        <v>21</v>
      </c>
      <c r="D109" s="222" t="s">
        <v>22</v>
      </c>
      <c r="E109" s="222" t="s">
        <v>21</v>
      </c>
      <c r="F109" s="222" t="s">
        <v>23</v>
      </c>
      <c r="G109" s="222" t="s">
        <v>24</v>
      </c>
      <c r="H109" s="453" t="s">
        <v>21</v>
      </c>
    </row>
    <row r="110" spans="1:8" x14ac:dyDescent="0.2">
      <c r="A110" s="217" t="s">
        <v>25</v>
      </c>
      <c r="B110" s="219">
        <v>342642.54</v>
      </c>
      <c r="C110" s="228">
        <f t="shared" ref="C110:C117" si="38">B110/$B$117</f>
        <v>0.62399376651893967</v>
      </c>
      <c r="D110" s="219">
        <v>1972.26</v>
      </c>
      <c r="E110" s="224">
        <f t="shared" ref="E110:E117" si="39">D110/$D$117</f>
        <v>2.8745515481835657E-2</v>
      </c>
      <c r="F110" s="223">
        <v>-2268.0500000000002</v>
      </c>
      <c r="G110" s="223">
        <f t="shared" ref="G110:G116" si="40">B110+D110</f>
        <v>344614.8</v>
      </c>
      <c r="H110" s="454">
        <f t="shared" ref="H110:H117" si="41">G110/$G$117</f>
        <v>0.55787902532456413</v>
      </c>
    </row>
    <row r="111" spans="1:8" x14ac:dyDescent="0.2">
      <c r="A111" s="217" t="s">
        <v>26</v>
      </c>
      <c r="B111" s="219">
        <v>104835.8</v>
      </c>
      <c r="C111" s="228">
        <f t="shared" si="38"/>
        <v>0.19091875080083828</v>
      </c>
      <c r="D111" s="219">
        <v>18020.71</v>
      </c>
      <c r="E111" s="224">
        <f t="shared" si="39"/>
        <v>0.26265025823099925</v>
      </c>
      <c r="F111" s="225">
        <v>-414.99</v>
      </c>
      <c r="G111" s="223">
        <f t="shared" si="40"/>
        <v>122856.51000000001</v>
      </c>
      <c r="H111" s="454">
        <f t="shared" si="41"/>
        <v>0.19888603174784591</v>
      </c>
    </row>
    <row r="112" spans="1:8" x14ac:dyDescent="0.2">
      <c r="A112" s="217" t="s">
        <v>27</v>
      </c>
      <c r="B112" s="219">
        <v>36524.68</v>
      </c>
      <c r="C112" s="228">
        <f t="shared" si="38"/>
        <v>6.6515887502173507E-2</v>
      </c>
      <c r="D112" s="223">
        <v>3112.09</v>
      </c>
      <c r="E112" s="224">
        <f t="shared" si="39"/>
        <v>4.5358437161361044E-2</v>
      </c>
      <c r="F112" s="225">
        <v>-804.93</v>
      </c>
      <c r="G112" s="223">
        <f t="shared" si="40"/>
        <v>39636.770000000004</v>
      </c>
      <c r="H112" s="454">
        <f t="shared" si="41"/>
        <v>6.4165911082791349E-2</v>
      </c>
    </row>
    <row r="113" spans="1:8" x14ac:dyDescent="0.2">
      <c r="A113" s="217" t="s">
        <v>28</v>
      </c>
      <c r="B113" s="219">
        <v>15057.26</v>
      </c>
      <c r="C113" s="228">
        <f t="shared" si="38"/>
        <v>2.7421102998054388E-2</v>
      </c>
      <c r="D113" s="223">
        <v>3315.53</v>
      </c>
      <c r="E113" s="224">
        <f t="shared" si="39"/>
        <v>4.8323557211265543E-2</v>
      </c>
      <c r="F113" s="225">
        <v>-527.5</v>
      </c>
      <c r="G113" s="223">
        <f t="shared" si="40"/>
        <v>18372.79</v>
      </c>
      <c r="H113" s="454">
        <f t="shared" si="41"/>
        <v>2.9742756775660531E-2</v>
      </c>
    </row>
    <row r="114" spans="1:8" x14ac:dyDescent="0.2">
      <c r="A114" s="217" t="s">
        <v>151</v>
      </c>
      <c r="B114" s="219">
        <v>11401.02</v>
      </c>
      <c r="C114" s="228">
        <f t="shared" si="38"/>
        <v>2.0762644976767223E-2</v>
      </c>
      <c r="D114" s="219">
        <v>7252.2</v>
      </c>
      <c r="E114" s="224">
        <f t="shared" si="39"/>
        <v>0.1057001751175649</v>
      </c>
      <c r="F114" s="225">
        <v>-710.7</v>
      </c>
      <c r="G114" s="223">
        <f t="shared" si="40"/>
        <v>18653.22</v>
      </c>
      <c r="H114" s="454">
        <f t="shared" si="41"/>
        <v>3.0196730357386469E-2</v>
      </c>
    </row>
    <row r="115" spans="1:8" x14ac:dyDescent="0.2">
      <c r="A115" s="217" t="s">
        <v>152</v>
      </c>
      <c r="B115" s="219">
        <v>12435.27</v>
      </c>
      <c r="C115" s="228">
        <f t="shared" si="38"/>
        <v>2.2646140099766874E-2</v>
      </c>
      <c r="D115" s="219">
        <v>4386.43</v>
      </c>
      <c r="E115" s="224">
        <f t="shared" si="39"/>
        <v>6.3931830222682798E-2</v>
      </c>
      <c r="F115" s="225">
        <v>-1304.24</v>
      </c>
      <c r="G115" s="223">
        <f t="shared" si="40"/>
        <v>16821.7</v>
      </c>
      <c r="H115" s="454">
        <f t="shared" si="41"/>
        <v>2.7231777626214024E-2</v>
      </c>
    </row>
    <row r="116" spans="1:8" ht="13.5" thickBot="1" x14ac:dyDescent="0.25">
      <c r="A116" s="226" t="s">
        <v>153</v>
      </c>
      <c r="B116" s="227">
        <v>26215.55</v>
      </c>
      <c r="C116" s="228">
        <f t="shared" si="38"/>
        <v>4.7741707103460033E-2</v>
      </c>
      <c r="D116" s="227">
        <v>30551.83</v>
      </c>
      <c r="E116" s="229">
        <f t="shared" si="39"/>
        <v>0.44529022657429096</v>
      </c>
      <c r="F116" s="230">
        <v>-3435.71</v>
      </c>
      <c r="G116" s="223">
        <f t="shared" si="40"/>
        <v>56767.380000000005</v>
      </c>
      <c r="H116" s="455">
        <f t="shared" si="41"/>
        <v>9.1897767085537707E-2</v>
      </c>
    </row>
    <row r="117" spans="1:8" ht="13.5" thickBot="1" x14ac:dyDescent="0.25">
      <c r="A117" s="232" t="s">
        <v>24</v>
      </c>
      <c r="B117" s="233">
        <f>SUM(B110:B116)</f>
        <v>549112.12</v>
      </c>
      <c r="C117" s="456">
        <f t="shared" si="38"/>
        <v>1</v>
      </c>
      <c r="D117" s="233">
        <f>SUM(D110:D116)</f>
        <v>68611.049999999988</v>
      </c>
      <c r="E117" s="457">
        <f t="shared" si="39"/>
        <v>1</v>
      </c>
      <c r="F117" s="233">
        <f>SUM(F110:F116)</f>
        <v>-9466.119999999999</v>
      </c>
      <c r="G117" s="233">
        <f>SUM(G110:G116)</f>
        <v>617723.16999999993</v>
      </c>
      <c r="H117" s="457">
        <f t="shared" si="41"/>
        <v>1</v>
      </c>
    </row>
    <row r="120" spans="1:8" ht="13.5" thickBot="1" x14ac:dyDescent="0.25">
      <c r="A120" s="22" t="s">
        <v>295</v>
      </c>
    </row>
    <row r="121" spans="1:8" x14ac:dyDescent="0.2">
      <c r="A121" s="216" t="s">
        <v>19</v>
      </c>
      <c r="B121" s="218" t="s">
        <v>20</v>
      </c>
      <c r="C121" s="220" t="s">
        <v>21</v>
      </c>
      <c r="D121" s="222" t="s">
        <v>22</v>
      </c>
      <c r="E121" s="222" t="s">
        <v>21</v>
      </c>
      <c r="F121" s="222" t="s">
        <v>23</v>
      </c>
      <c r="G121" s="222" t="s">
        <v>24</v>
      </c>
      <c r="H121" s="453" t="s">
        <v>21</v>
      </c>
    </row>
    <row r="122" spans="1:8" x14ac:dyDescent="0.2">
      <c r="A122" s="217" t="s">
        <v>25</v>
      </c>
      <c r="B122" s="219">
        <v>331284.14</v>
      </c>
      <c r="C122" s="228">
        <f>B122/$B$129</f>
        <v>0.65515913772420797</v>
      </c>
      <c r="D122" s="219">
        <v>9605.2199999999993</v>
      </c>
      <c r="E122" s="224">
        <f>D122/$D$129</f>
        <v>0.10899064267830567</v>
      </c>
      <c r="F122" s="223">
        <v>-8648</v>
      </c>
      <c r="G122" s="223">
        <f t="shared" ref="G122:G128" si="42">B122+D122</f>
        <v>340889.36</v>
      </c>
      <c r="H122" s="454">
        <f>G122/$G$129</f>
        <v>0.57409724096152182</v>
      </c>
    </row>
    <row r="123" spans="1:8" x14ac:dyDescent="0.2">
      <c r="A123" s="217" t="s">
        <v>26</v>
      </c>
      <c r="B123" s="219">
        <v>78024.990000000005</v>
      </c>
      <c r="C123" s="228">
        <f t="shared" ref="C123:C129" si="43">B123/$B$129</f>
        <v>0.15430495757913418</v>
      </c>
      <c r="D123" s="219">
        <v>13647.4</v>
      </c>
      <c r="E123" s="224">
        <f t="shared" ref="E123:E129" si="44">D123/$D$129</f>
        <v>0.15485734807614077</v>
      </c>
      <c r="F123" s="225">
        <v>-13791.15</v>
      </c>
      <c r="G123" s="223">
        <f t="shared" si="42"/>
        <v>91672.39</v>
      </c>
      <c r="H123" s="454">
        <f t="shared" ref="H123:H129" si="45">G123/$G$129</f>
        <v>0.1543869429405148</v>
      </c>
    </row>
    <row r="124" spans="1:8" x14ac:dyDescent="0.2">
      <c r="A124" s="217" t="s">
        <v>27</v>
      </c>
      <c r="B124" s="219">
        <v>26825.09</v>
      </c>
      <c r="C124" s="228">
        <f t="shared" si="43"/>
        <v>5.3050239090148638E-2</v>
      </c>
      <c r="D124" s="223">
        <v>12538.23</v>
      </c>
      <c r="E124" s="224">
        <f t="shared" si="44"/>
        <v>0.14227157168169105</v>
      </c>
      <c r="F124" s="225">
        <v>-9770.31</v>
      </c>
      <c r="G124" s="223">
        <f t="shared" si="42"/>
        <v>39363.32</v>
      </c>
      <c r="H124" s="454">
        <f t="shared" si="45"/>
        <v>6.6292398821381493E-2</v>
      </c>
    </row>
    <row r="125" spans="1:8" x14ac:dyDescent="0.2">
      <c r="A125" s="217" t="s">
        <v>28</v>
      </c>
      <c r="B125" s="219">
        <v>15106.48</v>
      </c>
      <c r="C125" s="228">
        <f t="shared" si="43"/>
        <v>2.9875104829491662E-2</v>
      </c>
      <c r="D125" s="223">
        <v>10374.25</v>
      </c>
      <c r="E125" s="224">
        <f t="shared" si="44"/>
        <v>0.11771684300884443</v>
      </c>
      <c r="F125" s="225">
        <v>-7945.28</v>
      </c>
      <c r="G125" s="223">
        <f t="shared" si="42"/>
        <v>25480.73</v>
      </c>
      <c r="H125" s="454">
        <f t="shared" si="45"/>
        <v>4.2912506247438989E-2</v>
      </c>
    </row>
    <row r="126" spans="1:8" x14ac:dyDescent="0.2">
      <c r="A126" s="217" t="s">
        <v>151</v>
      </c>
      <c r="B126" s="219">
        <v>16040.36</v>
      </c>
      <c r="C126" s="228">
        <f t="shared" si="43"/>
        <v>3.1721978680856487E-2</v>
      </c>
      <c r="D126" s="219">
        <v>7155.69</v>
      </c>
      <c r="E126" s="224">
        <f t="shared" si="44"/>
        <v>8.1195771872661443E-2</v>
      </c>
      <c r="F126" s="225">
        <v>-8045.04</v>
      </c>
      <c r="G126" s="223">
        <f t="shared" si="42"/>
        <v>23196.05</v>
      </c>
      <c r="H126" s="454">
        <f t="shared" si="45"/>
        <v>3.906484000030247E-2</v>
      </c>
    </row>
    <row r="127" spans="1:8" x14ac:dyDescent="0.2">
      <c r="A127" s="217" t="s">
        <v>152</v>
      </c>
      <c r="B127" s="219">
        <v>12601.83</v>
      </c>
      <c r="C127" s="228">
        <f t="shared" si="43"/>
        <v>2.492182111871415E-2</v>
      </c>
      <c r="D127" s="219">
        <v>9182.06</v>
      </c>
      <c r="E127" s="224">
        <f t="shared" si="44"/>
        <v>0.10418903684775188</v>
      </c>
      <c r="F127" s="225">
        <v>-4655.9799999999996</v>
      </c>
      <c r="G127" s="223">
        <f t="shared" si="42"/>
        <v>21783.89</v>
      </c>
      <c r="H127" s="454">
        <f t="shared" si="45"/>
        <v>3.6686598685301545E-2</v>
      </c>
    </row>
    <row r="128" spans="1:8" ht="13.5" thickBot="1" x14ac:dyDescent="0.25">
      <c r="A128" s="226" t="s">
        <v>153</v>
      </c>
      <c r="B128" s="227">
        <v>25771.57</v>
      </c>
      <c r="C128" s="228">
        <f t="shared" si="43"/>
        <v>5.0966760977446929E-2</v>
      </c>
      <c r="D128" s="227">
        <v>25626</v>
      </c>
      <c r="E128" s="229">
        <f t="shared" si="44"/>
        <v>0.29077878583460465</v>
      </c>
      <c r="F128" s="230">
        <v>-6983.79</v>
      </c>
      <c r="G128" s="223">
        <f t="shared" si="42"/>
        <v>51397.57</v>
      </c>
      <c r="H128" s="455">
        <f t="shared" si="45"/>
        <v>8.6559472343538932E-2</v>
      </c>
    </row>
    <row r="129" spans="1:8" ht="13.5" thickBot="1" x14ac:dyDescent="0.25">
      <c r="A129" s="232" t="s">
        <v>24</v>
      </c>
      <c r="B129" s="233">
        <f>SUM(B122:B128)</f>
        <v>505654.46</v>
      </c>
      <c r="C129" s="456">
        <f t="shared" si="43"/>
        <v>1</v>
      </c>
      <c r="D129" s="233">
        <f>SUM(D122:D128)</f>
        <v>88128.85</v>
      </c>
      <c r="E129" s="457">
        <f t="shared" si="44"/>
        <v>1</v>
      </c>
      <c r="F129" s="233">
        <f>SUM(F122:F128)</f>
        <v>-59839.549999999996</v>
      </c>
      <c r="G129" s="233">
        <f>SUM(G122:G128)</f>
        <v>593783.30999999994</v>
      </c>
      <c r="H129" s="457">
        <f t="shared" si="45"/>
        <v>1</v>
      </c>
    </row>
    <row r="132" spans="1:8" ht="13.5" thickBot="1" x14ac:dyDescent="0.25">
      <c r="A132" s="22" t="s">
        <v>291</v>
      </c>
    </row>
    <row r="133" spans="1:8" x14ac:dyDescent="0.2">
      <c r="A133" s="216" t="s">
        <v>19</v>
      </c>
      <c r="B133" s="218" t="s">
        <v>20</v>
      </c>
      <c r="C133" s="220" t="s">
        <v>21</v>
      </c>
      <c r="D133" s="222" t="s">
        <v>22</v>
      </c>
      <c r="E133" s="222" t="s">
        <v>21</v>
      </c>
      <c r="F133" s="222" t="s">
        <v>23</v>
      </c>
      <c r="G133" s="222" t="s">
        <v>24</v>
      </c>
      <c r="H133" s="453" t="s">
        <v>21</v>
      </c>
    </row>
    <row r="134" spans="1:8" x14ac:dyDescent="0.2">
      <c r="A134" s="217" t="s">
        <v>25</v>
      </c>
      <c r="B134" s="219">
        <v>368486.73</v>
      </c>
      <c r="C134" s="228">
        <f>B134/$B$141</f>
        <v>0.63725097289332466</v>
      </c>
      <c r="D134" s="219">
        <v>4061.08</v>
      </c>
      <c r="E134" s="224">
        <f>D134/$D$141</f>
        <v>5.7167922290320604E-2</v>
      </c>
      <c r="F134" s="223">
        <v>-3174.06</v>
      </c>
      <c r="G134" s="223">
        <f>B134+D134</f>
        <v>372547.81</v>
      </c>
      <c r="H134" s="454">
        <f>G134/$G$141</f>
        <v>0.57378427020049017</v>
      </c>
    </row>
    <row r="135" spans="1:8" x14ac:dyDescent="0.2">
      <c r="A135" s="217" t="s">
        <v>26</v>
      </c>
      <c r="B135" s="219">
        <v>86642.58</v>
      </c>
      <c r="C135" s="228">
        <f t="shared" ref="C135:C140" si="46">B135/$B$141</f>
        <v>0.14983733172423255</v>
      </c>
      <c r="D135" s="219">
        <v>14263.37</v>
      </c>
      <c r="E135" s="224">
        <f t="shared" ref="E135:E141" si="47">D135/$D$141</f>
        <v>0.2007858076566062</v>
      </c>
      <c r="F135" s="225">
        <v>-405.26</v>
      </c>
      <c r="G135" s="223">
        <f t="shared" ref="G135:G141" si="48">B135+D135</f>
        <v>100905.95</v>
      </c>
      <c r="H135" s="454">
        <f t="shared" ref="H135:H141" si="49">G135/$G$141</f>
        <v>0.15541158832644097</v>
      </c>
    </row>
    <row r="136" spans="1:8" x14ac:dyDescent="0.2">
      <c r="A136" s="217" t="s">
        <v>27</v>
      </c>
      <c r="B136" s="219">
        <v>31417.599999999999</v>
      </c>
      <c r="C136" s="228">
        <f t="shared" si="46"/>
        <v>5.4332746706979969E-2</v>
      </c>
      <c r="D136" s="223">
        <v>7016.7</v>
      </c>
      <c r="E136" s="224">
        <f t="shared" si="47"/>
        <v>9.8774257176537414E-2</v>
      </c>
      <c r="F136" s="225">
        <v>-829.49</v>
      </c>
      <c r="G136" s="223">
        <f t="shared" si="48"/>
        <v>38434.299999999996</v>
      </c>
      <c r="H136" s="454">
        <f t="shared" si="49"/>
        <v>5.9195078280467404E-2</v>
      </c>
    </row>
    <row r="137" spans="1:8" x14ac:dyDescent="0.2">
      <c r="A137" s="217" t="s">
        <v>28</v>
      </c>
      <c r="B137" s="219">
        <v>26124.98</v>
      </c>
      <c r="C137" s="228">
        <f t="shared" si="46"/>
        <v>4.5179832993765205E-2</v>
      </c>
      <c r="D137" s="223">
        <v>8388.26</v>
      </c>
      <c r="E137" s="224">
        <f t="shared" si="47"/>
        <v>0.11808174077610013</v>
      </c>
      <c r="F137" s="225">
        <v>-993.18</v>
      </c>
      <c r="G137" s="223">
        <f t="shared" si="48"/>
        <v>34513.24</v>
      </c>
      <c r="H137" s="454">
        <f t="shared" si="49"/>
        <v>5.3156007615920126E-2</v>
      </c>
    </row>
    <row r="138" spans="1:8" x14ac:dyDescent="0.2">
      <c r="A138" s="217" t="s">
        <v>151</v>
      </c>
      <c r="B138" s="219">
        <v>26129.17</v>
      </c>
      <c r="C138" s="228">
        <f t="shared" si="46"/>
        <v>4.5187079066307416E-2</v>
      </c>
      <c r="D138" s="219">
        <v>9380.9699999999993</v>
      </c>
      <c r="E138" s="224">
        <f t="shared" si="47"/>
        <v>0.13205614367799423</v>
      </c>
      <c r="F138" s="225">
        <v>-1476.6</v>
      </c>
      <c r="G138" s="223">
        <f t="shared" si="48"/>
        <v>35510.14</v>
      </c>
      <c r="H138" s="454">
        <f t="shared" si="49"/>
        <v>5.4691395889878494E-2</v>
      </c>
    </row>
    <row r="139" spans="1:8" x14ac:dyDescent="0.2">
      <c r="A139" s="217" t="s">
        <v>152</v>
      </c>
      <c r="B139" s="219">
        <v>20666</v>
      </c>
      <c r="C139" s="228">
        <f t="shared" si="46"/>
        <v>3.5739220801284888E-2</v>
      </c>
      <c r="D139" s="219">
        <v>9314.02</v>
      </c>
      <c r="E139" s="224">
        <f t="shared" si="47"/>
        <v>0.13111368689375535</v>
      </c>
      <c r="F139" s="225">
        <v>-1174</v>
      </c>
      <c r="G139" s="223">
        <f t="shared" si="48"/>
        <v>29980.02</v>
      </c>
      <c r="H139" s="454">
        <f t="shared" si="49"/>
        <v>4.6174110904842254E-2</v>
      </c>
    </row>
    <row r="140" spans="1:8" ht="13.5" thickBot="1" x14ac:dyDescent="0.25">
      <c r="A140" s="226" t="s">
        <v>153</v>
      </c>
      <c r="B140" s="227">
        <v>18777.22</v>
      </c>
      <c r="C140" s="228">
        <f t="shared" si="46"/>
        <v>3.2472815814105424E-2</v>
      </c>
      <c r="D140" s="227">
        <v>18613.34</v>
      </c>
      <c r="E140" s="229">
        <f t="shared" si="47"/>
        <v>0.26202044152868598</v>
      </c>
      <c r="F140" s="230">
        <v>-1397.8</v>
      </c>
      <c r="G140" s="231">
        <f t="shared" si="48"/>
        <v>37390.559999999998</v>
      </c>
      <c r="H140" s="455">
        <f t="shared" si="49"/>
        <v>5.7587548781960735E-2</v>
      </c>
    </row>
    <row r="141" spans="1:8" ht="13.5" thickBot="1" x14ac:dyDescent="0.25">
      <c r="A141" s="232" t="s">
        <v>24</v>
      </c>
      <c r="B141" s="233">
        <f>SUM(B134:B140)</f>
        <v>578244.27999999991</v>
      </c>
      <c r="C141" s="234">
        <f>B141/$B$141</f>
        <v>1</v>
      </c>
      <c r="D141" s="233">
        <f>SUM(D134:D140)</f>
        <v>71037.740000000005</v>
      </c>
      <c r="E141" s="235">
        <f t="shared" si="47"/>
        <v>1</v>
      </c>
      <c r="F141" s="233">
        <f>SUM(F134:F140)</f>
        <v>-9450.39</v>
      </c>
      <c r="G141" s="233">
        <f t="shared" si="48"/>
        <v>649282.0199999999</v>
      </c>
      <c r="H141" s="235">
        <f t="shared" si="49"/>
        <v>1</v>
      </c>
    </row>
    <row r="144" spans="1:8" ht="13.5" thickBot="1" x14ac:dyDescent="0.25">
      <c r="A144" s="22" t="s">
        <v>277</v>
      </c>
    </row>
    <row r="145" spans="1:8" x14ac:dyDescent="0.2">
      <c r="A145" s="216" t="s">
        <v>19</v>
      </c>
      <c r="B145" s="218" t="s">
        <v>20</v>
      </c>
      <c r="C145" s="220" t="s">
        <v>21</v>
      </c>
      <c r="D145" s="222" t="s">
        <v>22</v>
      </c>
      <c r="E145" s="222" t="s">
        <v>21</v>
      </c>
      <c r="F145" s="222" t="s">
        <v>23</v>
      </c>
      <c r="G145" s="222" t="s">
        <v>24</v>
      </c>
      <c r="H145" s="453" t="s">
        <v>21</v>
      </c>
    </row>
    <row r="146" spans="1:8" x14ac:dyDescent="0.2">
      <c r="A146" s="217" t="s">
        <v>25</v>
      </c>
      <c r="B146" s="219">
        <v>282446.99</v>
      </c>
      <c r="C146" s="228">
        <f t="shared" ref="C146:C151" si="50">B146/$B$153</f>
        <v>0.48590953143766669</v>
      </c>
      <c r="D146" s="219">
        <v>6372.72</v>
      </c>
      <c r="E146" s="224">
        <f>D146/$D$153</f>
        <v>8.5404548283498194E-2</v>
      </c>
      <c r="F146" s="223">
        <v>-1469.78</v>
      </c>
      <c r="G146" s="223">
        <f>B146+D146</f>
        <v>288819.70999999996</v>
      </c>
      <c r="H146" s="454">
        <f>G146/$G$153</f>
        <v>0.44034584671286797</v>
      </c>
    </row>
    <row r="147" spans="1:8" x14ac:dyDescent="0.2">
      <c r="A147" s="217" t="s">
        <v>26</v>
      </c>
      <c r="B147" s="219">
        <v>152590.29999999999</v>
      </c>
      <c r="C147" s="228">
        <f t="shared" si="50"/>
        <v>0.26250972324021932</v>
      </c>
      <c r="D147" s="219">
        <v>11976.840000000002</v>
      </c>
      <c r="E147" s="224">
        <f t="shared" ref="E147:E153" si="51">D147/$D$153</f>
        <v>0.16050863839361099</v>
      </c>
      <c r="F147" s="225">
        <v>-210.63</v>
      </c>
      <c r="G147" s="223">
        <f t="shared" ref="G147:G153" si="52">B147+D147</f>
        <v>164567.13999999998</v>
      </c>
      <c r="H147" s="454">
        <f t="shared" ref="H147:H153" si="53">G147/$G$153</f>
        <v>0.2509055098920191</v>
      </c>
    </row>
    <row r="148" spans="1:8" x14ac:dyDescent="0.2">
      <c r="A148" s="217" t="s">
        <v>27</v>
      </c>
      <c r="B148" s="219">
        <v>56514.559999999998</v>
      </c>
      <c r="C148" s="228">
        <f t="shared" si="50"/>
        <v>9.7225193899237172E-2</v>
      </c>
      <c r="D148" s="223">
        <v>10360.299999999999</v>
      </c>
      <c r="E148" s="224">
        <f t="shared" si="51"/>
        <v>0.13884444029888748</v>
      </c>
      <c r="F148" s="225">
        <v>-3208.45</v>
      </c>
      <c r="G148" s="223">
        <f t="shared" si="52"/>
        <v>66874.86</v>
      </c>
      <c r="H148" s="454">
        <f t="shared" si="53"/>
        <v>0.10196003191923608</v>
      </c>
    </row>
    <row r="149" spans="1:8" x14ac:dyDescent="0.2">
      <c r="A149" s="217" t="s">
        <v>28</v>
      </c>
      <c r="B149" s="219">
        <v>46249.97</v>
      </c>
      <c r="C149" s="228">
        <f t="shared" si="50"/>
        <v>7.9566439181051787E-2</v>
      </c>
      <c r="D149" s="223">
        <v>13499.54</v>
      </c>
      <c r="E149" s="224">
        <f t="shared" si="51"/>
        <v>0.18091523175896873</v>
      </c>
      <c r="F149" s="225">
        <v>-1110.72</v>
      </c>
      <c r="G149" s="223">
        <f t="shared" si="52"/>
        <v>59749.51</v>
      </c>
      <c r="H149" s="454">
        <f t="shared" si="53"/>
        <v>9.1096444116050723E-2</v>
      </c>
    </row>
    <row r="150" spans="1:8" x14ac:dyDescent="0.2">
      <c r="A150" s="217" t="s">
        <v>151</v>
      </c>
      <c r="B150" s="219">
        <v>20260.14</v>
      </c>
      <c r="C150" s="228">
        <f t="shared" si="50"/>
        <v>3.4854664708098074E-2</v>
      </c>
      <c r="D150" s="219">
        <v>10195.08</v>
      </c>
      <c r="E150" s="224">
        <f t="shared" si="51"/>
        <v>0.13663023043757244</v>
      </c>
      <c r="F150" s="225">
        <v>-491.08</v>
      </c>
      <c r="G150" s="223">
        <f t="shared" si="52"/>
        <v>30455.22</v>
      </c>
      <c r="H150" s="454">
        <f t="shared" si="53"/>
        <v>4.6433221741434036E-2</v>
      </c>
    </row>
    <row r="151" spans="1:8" x14ac:dyDescent="0.2">
      <c r="A151" s="217" t="s">
        <v>152</v>
      </c>
      <c r="B151" s="219">
        <v>10445.879999999999</v>
      </c>
      <c r="C151" s="228">
        <f t="shared" si="50"/>
        <v>1.7970638158523459E-2</v>
      </c>
      <c r="D151" s="219">
        <v>7935.69</v>
      </c>
      <c r="E151" s="224">
        <f t="shared" si="51"/>
        <v>0.10635082347378728</v>
      </c>
      <c r="F151" s="225">
        <v>-703.54</v>
      </c>
      <c r="G151" s="223">
        <f t="shared" si="52"/>
        <v>18381.57</v>
      </c>
      <c r="H151" s="454">
        <f t="shared" si="53"/>
        <v>2.8025261868595646E-2</v>
      </c>
    </row>
    <row r="152" spans="1:8" ht="13.5" thickBot="1" x14ac:dyDescent="0.25">
      <c r="A152" s="226" t="s">
        <v>153</v>
      </c>
      <c r="B152" s="227">
        <v>12767.01</v>
      </c>
      <c r="C152" s="228">
        <f>B152/$B$153</f>
        <v>2.1963809375203487E-2</v>
      </c>
      <c r="D152" s="227">
        <v>14277.87</v>
      </c>
      <c r="E152" s="229">
        <f t="shared" si="51"/>
        <v>0.19134608735367478</v>
      </c>
      <c r="F152" s="230">
        <v>-341.98</v>
      </c>
      <c r="G152" s="231">
        <f t="shared" si="52"/>
        <v>27044.880000000001</v>
      </c>
      <c r="H152" s="455">
        <f t="shared" si="53"/>
        <v>4.1233683749796406E-2</v>
      </c>
    </row>
    <row r="153" spans="1:8" ht="13.5" thickBot="1" x14ac:dyDescent="0.25">
      <c r="A153" s="232" t="s">
        <v>24</v>
      </c>
      <c r="B153" s="233">
        <f>SUM(B146:B152)</f>
        <v>581274.85</v>
      </c>
      <c r="C153" s="234">
        <f t="shared" ref="C153" si="54">B153/$B$153</f>
        <v>1</v>
      </c>
      <c r="D153" s="233">
        <f>SUM(D146:D152)</f>
        <v>74618.040000000008</v>
      </c>
      <c r="E153" s="235">
        <f t="shared" si="51"/>
        <v>1</v>
      </c>
      <c r="F153" s="233">
        <f>SUM(F146:F152)</f>
        <v>-7536.18</v>
      </c>
      <c r="G153" s="233">
        <f t="shared" si="52"/>
        <v>655892.89</v>
      </c>
      <c r="H153" s="693">
        <f t="shared" si="53"/>
        <v>1</v>
      </c>
    </row>
    <row r="156" spans="1:8" ht="13.5" thickBot="1" x14ac:dyDescent="0.25">
      <c r="A156" s="22" t="s">
        <v>263</v>
      </c>
    </row>
    <row r="157" spans="1:8" x14ac:dyDescent="0.2">
      <c r="A157" s="216" t="s">
        <v>19</v>
      </c>
      <c r="B157" s="218" t="s">
        <v>20</v>
      </c>
      <c r="C157" s="220" t="s">
        <v>21</v>
      </c>
      <c r="D157" s="222" t="s">
        <v>22</v>
      </c>
      <c r="E157" s="222" t="s">
        <v>21</v>
      </c>
      <c r="F157" s="222" t="s">
        <v>23</v>
      </c>
      <c r="G157" s="222" t="s">
        <v>24</v>
      </c>
      <c r="H157" s="453" t="s">
        <v>21</v>
      </c>
    </row>
    <row r="158" spans="1:8" x14ac:dyDescent="0.2">
      <c r="A158" s="217" t="s">
        <v>25</v>
      </c>
      <c r="B158" s="219">
        <v>394428.52</v>
      </c>
      <c r="C158" s="221">
        <f>B158/$B$165</f>
        <v>0.62331475202692632</v>
      </c>
      <c r="D158" s="219">
        <v>6399.97</v>
      </c>
      <c r="E158" s="224">
        <f>D158/$D$165</f>
        <v>8.7525649238222411E-2</v>
      </c>
      <c r="F158" s="223">
        <v>-1469.78</v>
      </c>
      <c r="G158" s="223">
        <f>B158+D158</f>
        <v>400828.49</v>
      </c>
      <c r="H158" s="454">
        <f>G158/$G$165</f>
        <v>0.56781573229912463</v>
      </c>
    </row>
    <row r="159" spans="1:8" x14ac:dyDescent="0.2">
      <c r="A159" s="217" t="s">
        <v>26</v>
      </c>
      <c r="B159" s="219">
        <v>120728.89000000001</v>
      </c>
      <c r="C159" s="221">
        <f t="shared" ref="C159:C165" si="55">B159/$B$165</f>
        <v>0.19078766954487994</v>
      </c>
      <c r="D159" s="219">
        <v>18785.22</v>
      </c>
      <c r="E159" s="224">
        <f t="shared" ref="E159:E164" si="56">D159/$D$165</f>
        <v>0.25690566933639386</v>
      </c>
      <c r="F159" s="225">
        <v>-210.63</v>
      </c>
      <c r="G159" s="223">
        <f t="shared" ref="G159:G165" si="57">B159+D159</f>
        <v>139514.11000000002</v>
      </c>
      <c r="H159" s="454">
        <f t="shared" ref="H159:H164" si="58">G159/$G$165</f>
        <v>0.19763641685178276</v>
      </c>
    </row>
    <row r="160" spans="1:8" x14ac:dyDescent="0.2">
      <c r="A160" s="217" t="s">
        <v>27</v>
      </c>
      <c r="B160" s="219">
        <v>63003.929999999993</v>
      </c>
      <c r="C160" s="221">
        <f t="shared" si="55"/>
        <v>9.956500864762978E-2</v>
      </c>
      <c r="D160" s="223">
        <v>14162.43</v>
      </c>
      <c r="E160" s="224">
        <f t="shared" si="56"/>
        <v>0.19368463923125862</v>
      </c>
      <c r="F160" s="225">
        <v>-3208.45</v>
      </c>
      <c r="G160" s="223">
        <f t="shared" si="57"/>
        <v>77166.359999999986</v>
      </c>
      <c r="H160" s="454">
        <f t="shared" si="58"/>
        <v>0.10931426858469535</v>
      </c>
    </row>
    <row r="161" spans="1:8" x14ac:dyDescent="0.2">
      <c r="A161" s="217" t="s">
        <v>28</v>
      </c>
      <c r="B161" s="219">
        <v>27580.32</v>
      </c>
      <c r="C161" s="221">
        <f t="shared" si="55"/>
        <v>4.3585135074977022E-2</v>
      </c>
      <c r="D161" s="223">
        <v>10949.1</v>
      </c>
      <c r="E161" s="224">
        <f t="shared" si="56"/>
        <v>0.14973930910210845</v>
      </c>
      <c r="F161" s="225">
        <v>-1110.72</v>
      </c>
      <c r="G161" s="223">
        <f t="shared" si="57"/>
        <v>38529.42</v>
      </c>
      <c r="H161" s="454">
        <f t="shared" si="58"/>
        <v>5.4580977595580941E-2</v>
      </c>
    </row>
    <row r="162" spans="1:8" x14ac:dyDescent="0.2">
      <c r="A162" s="217" t="s">
        <v>151</v>
      </c>
      <c r="B162" s="219">
        <v>14075.99</v>
      </c>
      <c r="C162" s="221">
        <f t="shared" si="55"/>
        <v>2.2244264224056346E-2</v>
      </c>
      <c r="D162" s="219">
        <v>8474.4</v>
      </c>
      <c r="E162" s="224">
        <f t="shared" si="56"/>
        <v>0.11589544355745292</v>
      </c>
      <c r="F162" s="225">
        <v>-491.08</v>
      </c>
      <c r="G162" s="223">
        <f t="shared" si="57"/>
        <v>22550.39</v>
      </c>
      <c r="H162" s="454">
        <f t="shared" si="58"/>
        <v>3.1945000245568518E-2</v>
      </c>
    </row>
    <row r="163" spans="1:8" x14ac:dyDescent="0.2">
      <c r="A163" s="217" t="s">
        <v>152</v>
      </c>
      <c r="B163" s="219">
        <v>7382.26</v>
      </c>
      <c r="C163" s="221">
        <f t="shared" si="55"/>
        <v>1.1666173534556519E-2</v>
      </c>
      <c r="D163" s="219">
        <v>8541.08</v>
      </c>
      <c r="E163" s="224">
        <f t="shared" si="56"/>
        <v>0.11680735569004178</v>
      </c>
      <c r="F163" s="225">
        <v>-703.54</v>
      </c>
      <c r="G163" s="223">
        <f t="shared" si="57"/>
        <v>15923.34</v>
      </c>
      <c r="H163" s="454">
        <f t="shared" si="58"/>
        <v>2.2557086605166074E-2</v>
      </c>
    </row>
    <row r="164" spans="1:8" ht="13.5" thickBot="1" x14ac:dyDescent="0.25">
      <c r="A164" s="226" t="s">
        <v>153</v>
      </c>
      <c r="B164" s="227">
        <v>5591.98</v>
      </c>
      <c r="C164" s="228">
        <f t="shared" si="55"/>
        <v>8.8369969469741464E-3</v>
      </c>
      <c r="D164" s="227">
        <v>5808.88</v>
      </c>
      <c r="E164" s="229">
        <f t="shared" si="56"/>
        <v>7.9441933844521986E-2</v>
      </c>
      <c r="F164" s="230">
        <v>-341.98</v>
      </c>
      <c r="G164" s="231">
        <f t="shared" si="57"/>
        <v>11400.86</v>
      </c>
      <c r="H164" s="455">
        <f t="shared" si="58"/>
        <v>1.6150517818081741E-2</v>
      </c>
    </row>
    <row r="165" spans="1:8" ht="13.5" thickBot="1" x14ac:dyDescent="0.25">
      <c r="A165" s="232" t="s">
        <v>24</v>
      </c>
      <c r="B165" s="233">
        <f>SUM(B158:B164)</f>
        <v>632791.89</v>
      </c>
      <c r="C165" s="456">
        <f t="shared" si="55"/>
        <v>1</v>
      </c>
      <c r="D165" s="233">
        <f>SUM(D158:D164)</f>
        <v>73121.08</v>
      </c>
      <c r="E165" s="457">
        <v>1</v>
      </c>
      <c r="F165" s="233">
        <f>SUM(F158:F164)</f>
        <v>-7536.18</v>
      </c>
      <c r="G165" s="233">
        <f t="shared" si="57"/>
        <v>705912.97</v>
      </c>
      <c r="H165" s="457">
        <f>G165/$G$165</f>
        <v>1</v>
      </c>
    </row>
    <row r="166" spans="1:8" x14ac:dyDescent="0.2">
      <c r="A166" s="17"/>
      <c r="B166" s="51"/>
      <c r="C166" s="138"/>
      <c r="D166" s="51"/>
      <c r="E166" s="634"/>
      <c r="F166" s="51"/>
      <c r="G166" s="51"/>
      <c r="H166" s="634"/>
    </row>
    <row r="167" spans="1:8" ht="13.5" thickBot="1" x14ac:dyDescent="0.25">
      <c r="A167" s="22" t="s">
        <v>242</v>
      </c>
    </row>
    <row r="168" spans="1:8" x14ac:dyDescent="0.2">
      <c r="A168" s="216" t="s">
        <v>19</v>
      </c>
      <c r="B168" s="218" t="s">
        <v>20</v>
      </c>
      <c r="C168" s="220" t="s">
        <v>21</v>
      </c>
      <c r="D168" s="222" t="s">
        <v>22</v>
      </c>
      <c r="E168" s="222" t="s">
        <v>21</v>
      </c>
      <c r="F168" s="222" t="s">
        <v>23</v>
      </c>
      <c r="G168" s="222" t="s">
        <v>24</v>
      </c>
      <c r="H168" s="222" t="s">
        <v>21</v>
      </c>
    </row>
    <row r="169" spans="1:8" x14ac:dyDescent="0.2">
      <c r="A169" s="217" t="s">
        <v>25</v>
      </c>
      <c r="B169" s="219">
        <v>277804.78000000003</v>
      </c>
      <c r="C169" s="221">
        <f>B169/B174</f>
        <v>0.50582115848094722</v>
      </c>
      <c r="D169" s="219">
        <v>8101.34</v>
      </c>
      <c r="E169" s="224">
        <f>D169/$D174</f>
        <v>0.11543328553855894</v>
      </c>
      <c r="F169" s="223">
        <v>-3952.57</v>
      </c>
      <c r="G169" s="223">
        <f>B169+D169</f>
        <v>285906.12000000005</v>
      </c>
      <c r="H169" s="224">
        <f>G169/$G$172</f>
        <v>7.1253346704783951</v>
      </c>
    </row>
    <row r="170" spans="1:8" x14ac:dyDescent="0.2">
      <c r="A170" s="217" t="s">
        <v>26</v>
      </c>
      <c r="B170" s="219">
        <v>159072.95000000001</v>
      </c>
      <c r="C170" s="221">
        <f>B170/B174</f>
        <v>0.28963671486135623</v>
      </c>
      <c r="D170" s="219">
        <v>17660.050000000003</v>
      </c>
      <c r="E170" s="224">
        <f>D170/$D174</f>
        <v>0.25163214903648384</v>
      </c>
      <c r="F170" s="225">
        <v>-3644.21</v>
      </c>
      <c r="G170" s="223">
        <f>B170+D170</f>
        <v>176733</v>
      </c>
      <c r="H170" s="224">
        <f>G170/$G174</f>
        <v>0.28533053487160898</v>
      </c>
    </row>
    <row r="171" spans="1:8" x14ac:dyDescent="0.2">
      <c r="A171" s="217" t="s">
        <v>27</v>
      </c>
      <c r="B171" s="219">
        <v>56093.279999999992</v>
      </c>
      <c r="C171" s="221">
        <f>B171/B174</f>
        <v>0.10213347615039649</v>
      </c>
      <c r="D171" s="223">
        <v>15554.35</v>
      </c>
      <c r="E171" s="224">
        <f>D171/$D174</f>
        <v>0.22162873363131091</v>
      </c>
      <c r="F171" s="225">
        <v>-686.68</v>
      </c>
      <c r="G171" s="223">
        <f>B171+D171</f>
        <v>71647.62999999999</v>
      </c>
      <c r="H171" s="224">
        <f>G171/$G174</f>
        <v>0.11567311475606216</v>
      </c>
    </row>
    <row r="172" spans="1:8" x14ac:dyDescent="0.2">
      <c r="A172" s="217" t="s">
        <v>28</v>
      </c>
      <c r="B172" s="219">
        <v>29879.85</v>
      </c>
      <c r="C172" s="221">
        <f>B172/B174</f>
        <v>5.4404608668853466E-2</v>
      </c>
      <c r="D172" s="223">
        <v>10245.44</v>
      </c>
      <c r="E172" s="224">
        <f>D172/$D174</f>
        <v>0.14598384970735376</v>
      </c>
      <c r="F172" s="225">
        <v>-531.78</v>
      </c>
      <c r="G172" s="223">
        <f>B172+D172</f>
        <v>40125.29</v>
      </c>
      <c r="H172" s="224">
        <f>G172/$G174</f>
        <v>6.4781169660326168E-2</v>
      </c>
    </row>
    <row r="173" spans="1:8" ht="13.5" thickBot="1" x14ac:dyDescent="0.25">
      <c r="A173" s="226" t="s">
        <v>29</v>
      </c>
      <c r="B173" s="227">
        <v>26364.560000000001</v>
      </c>
      <c r="C173" s="221">
        <f>B173/B174</f>
        <v>4.8004041838446559E-2</v>
      </c>
      <c r="D173" s="227">
        <v>18620.830000000002</v>
      </c>
      <c r="E173" s="229">
        <f>D173/$D174</f>
        <v>0.26532198208629248</v>
      </c>
      <c r="F173" s="230">
        <v>-1426.89</v>
      </c>
      <c r="G173" s="231">
        <f>B173+D173</f>
        <v>44985.39</v>
      </c>
      <c r="H173" s="229">
        <f>G173/$G174</f>
        <v>7.262766653713755E-2</v>
      </c>
    </row>
    <row r="174" spans="1:8" ht="13.5" thickBot="1" x14ac:dyDescent="0.25">
      <c r="A174" s="232" t="s">
        <v>24</v>
      </c>
      <c r="B174" s="233">
        <f>SUM(B169:B173)</f>
        <v>549215.42000000004</v>
      </c>
      <c r="C174" s="234">
        <f>B174/B174</f>
        <v>1</v>
      </c>
      <c r="D174" s="233">
        <f>SUM(D169:D173)</f>
        <v>70182.010000000009</v>
      </c>
      <c r="E174" s="235">
        <f>D174/D174</f>
        <v>1</v>
      </c>
      <c r="F174" s="236">
        <f>SUM(F169:F173)</f>
        <v>-10242.130000000001</v>
      </c>
      <c r="G174" s="233">
        <f>SUM(G169:G173)</f>
        <v>619397.43000000005</v>
      </c>
      <c r="H174" s="235">
        <f>G174/G174</f>
        <v>1</v>
      </c>
    </row>
    <row r="176" spans="1:8" ht="13.5" thickBot="1" x14ac:dyDescent="0.25">
      <c r="A176" s="22" t="s">
        <v>144</v>
      </c>
    </row>
    <row r="177" spans="1:8" x14ac:dyDescent="0.2">
      <c r="A177" s="216" t="s">
        <v>19</v>
      </c>
      <c r="B177" s="218" t="s">
        <v>20</v>
      </c>
      <c r="C177" s="220" t="s">
        <v>21</v>
      </c>
      <c r="D177" s="222" t="s">
        <v>22</v>
      </c>
      <c r="E177" s="222" t="s">
        <v>21</v>
      </c>
      <c r="F177" s="222" t="s">
        <v>23</v>
      </c>
      <c r="G177" s="222" t="s">
        <v>24</v>
      </c>
      <c r="H177" s="222" t="s">
        <v>21</v>
      </c>
    </row>
    <row r="178" spans="1:8" x14ac:dyDescent="0.2">
      <c r="A178" s="217" t="s">
        <v>25</v>
      </c>
      <c r="B178" s="219">
        <v>247071.8</v>
      </c>
      <c r="C178" s="221">
        <f>B178/B183</f>
        <v>0.58715325546030483</v>
      </c>
      <c r="D178" s="219">
        <v>5865.0199999999995</v>
      </c>
      <c r="E178" s="224">
        <f>D178/$D183</f>
        <v>0.10477633767127924</v>
      </c>
      <c r="F178" s="223">
        <v>-4655.34</v>
      </c>
      <c r="G178" s="223">
        <f>B178+D178</f>
        <v>252936.81999999998</v>
      </c>
      <c r="H178" s="224">
        <f>G178/$G$183</f>
        <v>0.53051870611627128</v>
      </c>
    </row>
    <row r="179" spans="1:8" x14ac:dyDescent="0.2">
      <c r="A179" s="217" t="s">
        <v>26</v>
      </c>
      <c r="B179" s="219">
        <v>102131.59000000001</v>
      </c>
      <c r="C179" s="221">
        <f>B179/B183</f>
        <v>0.24271040059544283</v>
      </c>
      <c r="D179" s="219">
        <v>14359.71</v>
      </c>
      <c r="E179" s="224">
        <f>D179/$D183</f>
        <v>0.25653072347948436</v>
      </c>
      <c r="F179" s="225">
        <v>-5656.2599999999993</v>
      </c>
      <c r="G179" s="223">
        <f>B179+D179</f>
        <v>116491.30000000002</v>
      </c>
      <c r="H179" s="224">
        <f>G179/$G183</f>
        <v>0.24433300675560959</v>
      </c>
    </row>
    <row r="180" spans="1:8" x14ac:dyDescent="0.2">
      <c r="A180" s="217" t="s">
        <v>27</v>
      </c>
      <c r="B180" s="219">
        <v>34315.120000000003</v>
      </c>
      <c r="C180" s="221">
        <f>B180/B183</f>
        <v>8.154809419573994E-2</v>
      </c>
      <c r="D180" s="223">
        <v>11989.33</v>
      </c>
      <c r="E180" s="224">
        <f>D180/$D183</f>
        <v>0.21418479195849263</v>
      </c>
      <c r="F180" s="225">
        <v>-1684.88</v>
      </c>
      <c r="G180" s="223">
        <f>B180+D180</f>
        <v>46304.450000000004</v>
      </c>
      <c r="H180" s="224">
        <f>G180/$G183</f>
        <v>9.7120604668887597E-2</v>
      </c>
    </row>
    <row r="181" spans="1:8" x14ac:dyDescent="0.2">
      <c r="A181" s="217" t="s">
        <v>28</v>
      </c>
      <c r="B181" s="219">
        <v>20979.87</v>
      </c>
      <c r="C181" s="221">
        <f>B181/B183</f>
        <v>4.985756759627763E-2</v>
      </c>
      <c r="D181" s="223">
        <v>12873</v>
      </c>
      <c r="E181" s="224">
        <f>D181/$D183</f>
        <v>0.22997121831509149</v>
      </c>
      <c r="F181" s="225">
        <v>-814.44</v>
      </c>
      <c r="G181" s="223">
        <f>B181+D181</f>
        <v>33852.869999999995</v>
      </c>
      <c r="H181" s="224">
        <f>G181/$G183</f>
        <v>7.1004216747574886E-2</v>
      </c>
    </row>
    <row r="182" spans="1:8" ht="13.5" thickBot="1" x14ac:dyDescent="0.25">
      <c r="A182" s="226" t="s">
        <v>29</v>
      </c>
      <c r="B182" s="227">
        <v>16297.72</v>
      </c>
      <c r="C182" s="221">
        <f>B182/B183</f>
        <v>3.8730682152234776E-2</v>
      </c>
      <c r="D182" s="227">
        <v>10889.51</v>
      </c>
      <c r="E182" s="229">
        <f>D182/$D183</f>
        <v>0.19453692857565227</v>
      </c>
      <c r="F182" s="230">
        <v>-556.35</v>
      </c>
      <c r="G182" s="231">
        <f>B182+D182</f>
        <v>27187.23</v>
      </c>
      <c r="H182" s="229">
        <f>G182/$G183</f>
        <v>5.7023465711656666E-2</v>
      </c>
    </row>
    <row r="183" spans="1:8" ht="13.5" thickBot="1" x14ac:dyDescent="0.25">
      <c r="A183" s="232" t="s">
        <v>24</v>
      </c>
      <c r="B183" s="233">
        <f>SUM(B178:B182)</f>
        <v>420796.1</v>
      </c>
      <c r="C183" s="234">
        <f>B183/B183</f>
        <v>1</v>
      </c>
      <c r="D183" s="233">
        <f>SUM(D178:D182)</f>
        <v>55976.57</v>
      </c>
      <c r="E183" s="235">
        <f>D183/D183</f>
        <v>1</v>
      </c>
      <c r="F183" s="236">
        <f>SUM(F178:F182)</f>
        <v>-13367.27</v>
      </c>
      <c r="G183" s="233">
        <f>SUM(G178:G182)</f>
        <v>476772.67</v>
      </c>
      <c r="H183" s="235">
        <f>G183/G183</f>
        <v>1</v>
      </c>
    </row>
    <row r="185" spans="1:8" ht="15" customHeight="1" thickBot="1" x14ac:dyDescent="0.25">
      <c r="A185" s="22" t="s">
        <v>138</v>
      </c>
    </row>
    <row r="186" spans="1:8" x14ac:dyDescent="0.2">
      <c r="A186" s="216" t="s">
        <v>19</v>
      </c>
      <c r="B186" s="218" t="s">
        <v>20</v>
      </c>
      <c r="C186" s="220" t="s">
        <v>21</v>
      </c>
      <c r="D186" s="222" t="s">
        <v>22</v>
      </c>
      <c r="E186" s="222" t="s">
        <v>21</v>
      </c>
      <c r="F186" s="222" t="s">
        <v>23</v>
      </c>
      <c r="G186" s="222" t="s">
        <v>24</v>
      </c>
      <c r="H186" s="222" t="s">
        <v>21</v>
      </c>
    </row>
    <row r="187" spans="1:8" x14ac:dyDescent="0.2">
      <c r="A187" s="217" t="s">
        <v>25</v>
      </c>
      <c r="B187" s="219">
        <v>208098.34</v>
      </c>
      <c r="C187" s="221">
        <f>B187/$B$192</f>
        <v>0.61306495741653955</v>
      </c>
      <c r="D187" s="219">
        <v>5836.9800000000005</v>
      </c>
      <c r="E187" s="224">
        <f>D187/$D$192</f>
        <v>0.15902809714887284</v>
      </c>
      <c r="F187" s="223">
        <v>-2484.2600000000002</v>
      </c>
      <c r="G187" s="223">
        <f>B187+D187</f>
        <v>213935.32</v>
      </c>
      <c r="H187" s="224">
        <f>G187/$G$192</f>
        <v>0.56876002975248441</v>
      </c>
    </row>
    <row r="188" spans="1:8" x14ac:dyDescent="0.2">
      <c r="A188" s="217" t="s">
        <v>26</v>
      </c>
      <c r="B188" s="219">
        <v>75330.27</v>
      </c>
      <c r="C188" s="221">
        <f t="shared" ref="C188:C192" si="59">B188/$B$192</f>
        <v>0.22192559906881734</v>
      </c>
      <c r="D188" s="219">
        <v>7877.15</v>
      </c>
      <c r="E188" s="224">
        <f t="shared" ref="E188:E192" si="60">D188/$D$192</f>
        <v>0.21461238096691157</v>
      </c>
      <c r="F188" s="225">
        <v>-5549.65</v>
      </c>
      <c r="G188" s="223">
        <f>B188+D188</f>
        <v>83207.42</v>
      </c>
      <c r="H188" s="224">
        <f t="shared" ref="H188:H192" si="61">G188/$G$192</f>
        <v>0.22121197507184631</v>
      </c>
    </row>
    <row r="189" spans="1:8" x14ac:dyDescent="0.2">
      <c r="A189" s="217" t="s">
        <v>27</v>
      </c>
      <c r="B189" s="219">
        <v>31556.13</v>
      </c>
      <c r="C189" s="221">
        <f t="shared" si="59"/>
        <v>9.2965458036238E-2</v>
      </c>
      <c r="D189" s="223">
        <v>10972.43</v>
      </c>
      <c r="E189" s="224">
        <f t="shared" si="60"/>
        <v>0.29894306028103684</v>
      </c>
      <c r="F189" s="225">
        <v>-5017.58</v>
      </c>
      <c r="G189" s="223">
        <f>B189+D189</f>
        <v>42528.56</v>
      </c>
      <c r="H189" s="224">
        <f t="shared" si="61"/>
        <v>0.11306475738054995</v>
      </c>
    </row>
    <row r="190" spans="1:8" x14ac:dyDescent="0.2">
      <c r="A190" s="217" t="s">
        <v>28</v>
      </c>
      <c r="B190" s="219">
        <v>24451.16</v>
      </c>
      <c r="C190" s="221">
        <f t="shared" si="59"/>
        <v>7.2033968959987843E-2</v>
      </c>
      <c r="D190" s="223">
        <v>10705.88</v>
      </c>
      <c r="E190" s="224">
        <f t="shared" si="60"/>
        <v>0.29168092484541225</v>
      </c>
      <c r="F190" s="225">
        <v>-2671.36</v>
      </c>
      <c r="G190" s="223">
        <f>B190+D190</f>
        <v>35157.040000000001</v>
      </c>
      <c r="H190" s="224">
        <f t="shared" si="61"/>
        <v>9.3467124158877937E-2</v>
      </c>
    </row>
    <row r="191" spans="1:8" ht="13.5" thickBot="1" x14ac:dyDescent="0.25">
      <c r="A191" s="226" t="s">
        <v>29</v>
      </c>
      <c r="B191" s="227">
        <v>3.4</v>
      </c>
      <c r="C191" s="228">
        <f t="shared" si="59"/>
        <v>1.0016518417284033E-5</v>
      </c>
      <c r="D191" s="227">
        <v>1311.64</v>
      </c>
      <c r="E191" s="229">
        <f t="shared" si="60"/>
        <v>3.5735536757766438E-2</v>
      </c>
      <c r="F191" s="230">
        <v>-388.65</v>
      </c>
      <c r="G191" s="231">
        <f>B191+D191</f>
        <v>1315.0400000000002</v>
      </c>
      <c r="H191" s="229">
        <f t="shared" si="61"/>
        <v>3.4961136362415854E-3</v>
      </c>
    </row>
    <row r="192" spans="1:8" ht="13.5" thickBot="1" x14ac:dyDescent="0.25">
      <c r="A192" s="232" t="s">
        <v>24</v>
      </c>
      <c r="B192" s="233">
        <f t="shared" ref="B192:G192" si="62">SUM(B187:B191)</f>
        <v>339439.3</v>
      </c>
      <c r="C192" s="234">
        <f t="shared" si="59"/>
        <v>1</v>
      </c>
      <c r="D192" s="233">
        <f t="shared" si="62"/>
        <v>36704.080000000002</v>
      </c>
      <c r="E192" s="235">
        <f t="shared" si="60"/>
        <v>1</v>
      </c>
      <c r="F192" s="236">
        <f t="shared" si="62"/>
        <v>-16111.5</v>
      </c>
      <c r="G192" s="233">
        <f t="shared" si="62"/>
        <v>376143.37999999995</v>
      </c>
      <c r="H192" s="235">
        <f t="shared" si="61"/>
        <v>1</v>
      </c>
    </row>
    <row r="195" spans="1:8" ht="13.5" thickBot="1" x14ac:dyDescent="0.25">
      <c r="A195" s="22" t="s">
        <v>132</v>
      </c>
    </row>
    <row r="196" spans="1:8" ht="13.5" thickBot="1" x14ac:dyDescent="0.25">
      <c r="A196" s="23" t="s">
        <v>19</v>
      </c>
      <c r="B196" s="24" t="s">
        <v>20</v>
      </c>
      <c r="C196" s="133" t="s">
        <v>21</v>
      </c>
      <c r="D196" s="25" t="s">
        <v>22</v>
      </c>
      <c r="E196" s="26" t="s">
        <v>21</v>
      </c>
      <c r="F196" s="27" t="s">
        <v>23</v>
      </c>
      <c r="G196" s="25" t="s">
        <v>24</v>
      </c>
      <c r="H196" s="25" t="s">
        <v>21</v>
      </c>
    </row>
    <row r="197" spans="1:8" x14ac:dyDescent="0.2">
      <c r="A197" s="28" t="s">
        <v>25</v>
      </c>
      <c r="B197" s="29">
        <v>138565.07</v>
      </c>
      <c r="C197" s="134">
        <f>B197/$B$202</f>
        <v>0.54567300213842751</v>
      </c>
      <c r="D197" s="31">
        <v>1397.1</v>
      </c>
      <c r="E197" s="30">
        <f>D197/$D$202</f>
        <v>9.4312238246579486E-2</v>
      </c>
      <c r="F197" s="32">
        <v>-3213.97</v>
      </c>
      <c r="G197" s="33">
        <f>B197+D197</f>
        <v>139962.17000000001</v>
      </c>
      <c r="H197" s="34">
        <f>G197/$G$202</f>
        <v>0.52079369425210598</v>
      </c>
    </row>
    <row r="198" spans="1:8" x14ac:dyDescent="0.2">
      <c r="A198" s="35" t="s">
        <v>26</v>
      </c>
      <c r="B198" s="36">
        <v>75923.19</v>
      </c>
      <c r="C198" s="134">
        <f t="shared" ref="C198:C201" si="63">B198/$B$202</f>
        <v>0.29898758048638258</v>
      </c>
      <c r="D198" s="29">
        <v>6184.45</v>
      </c>
      <c r="E198" s="30">
        <f t="shared" ref="E198:E201" si="64">D198/$D$202</f>
        <v>0.41748573604184275</v>
      </c>
      <c r="F198" s="38">
        <v>-5116.72</v>
      </c>
      <c r="G198" s="33">
        <f>B198+D198</f>
        <v>82107.64</v>
      </c>
      <c r="H198" s="34">
        <f>G198/$G$202</f>
        <v>0.30551927825870362</v>
      </c>
    </row>
    <row r="199" spans="1:8" x14ac:dyDescent="0.2">
      <c r="A199" s="35" t="s">
        <v>27</v>
      </c>
      <c r="B199" s="36">
        <v>39300.910000000003</v>
      </c>
      <c r="C199" s="134">
        <f t="shared" si="63"/>
        <v>0.15476804902182165</v>
      </c>
      <c r="D199" s="33">
        <v>7000.42</v>
      </c>
      <c r="E199" s="30">
        <f t="shared" si="64"/>
        <v>0.47256837654149308</v>
      </c>
      <c r="F199" s="38">
        <v>-4885.82</v>
      </c>
      <c r="G199" s="33">
        <f>B199+D199</f>
        <v>46301.33</v>
      </c>
      <c r="H199" s="34">
        <f>G199/$G$202</f>
        <v>0.17228541611984052</v>
      </c>
    </row>
    <row r="200" spans="1:8" x14ac:dyDescent="0.2">
      <c r="A200" s="35" t="s">
        <v>28</v>
      </c>
      <c r="B200" s="36">
        <v>145.09</v>
      </c>
      <c r="C200" s="458">
        <f t="shared" si="63"/>
        <v>5.7136835336830873E-4</v>
      </c>
      <c r="D200" s="33">
        <v>231.59</v>
      </c>
      <c r="E200" s="30">
        <f t="shared" si="64"/>
        <v>1.5633649170084706E-2</v>
      </c>
      <c r="F200" s="38">
        <v>-78.260000000000005</v>
      </c>
      <c r="G200" s="33">
        <f>B200+D200</f>
        <v>376.68</v>
      </c>
      <c r="H200" s="458">
        <f>G200/$G$202</f>
        <v>1.4016113693498984E-3</v>
      </c>
    </row>
    <row r="201" spans="1:8" ht="13.5" thickBot="1" x14ac:dyDescent="0.25">
      <c r="A201" s="40" t="s">
        <v>29</v>
      </c>
      <c r="B201" s="41">
        <v>0</v>
      </c>
      <c r="C201" s="459">
        <f t="shared" si="63"/>
        <v>0</v>
      </c>
      <c r="D201" s="460">
        <v>0</v>
      </c>
      <c r="E201" s="461">
        <f t="shared" si="64"/>
        <v>0</v>
      </c>
      <c r="F201" s="44">
        <v>0</v>
      </c>
      <c r="G201" s="462">
        <f>B201+D201</f>
        <v>0</v>
      </c>
      <c r="H201" s="34">
        <f>G201/$G$202</f>
        <v>0</v>
      </c>
    </row>
    <row r="202" spans="1:8" ht="13.5" thickBot="1" x14ac:dyDescent="0.25">
      <c r="A202" s="463" t="s">
        <v>24</v>
      </c>
      <c r="B202" s="464">
        <f t="shared" ref="B202:H202" si="65">SUM(B197:B201)</f>
        <v>253934.26</v>
      </c>
      <c r="C202" s="465">
        <f t="shared" si="65"/>
        <v>1</v>
      </c>
      <c r="D202" s="464">
        <f t="shared" si="65"/>
        <v>14813.56</v>
      </c>
      <c r="E202" s="465">
        <f t="shared" si="65"/>
        <v>1</v>
      </c>
      <c r="F202" s="466">
        <f t="shared" si="65"/>
        <v>-13294.77</v>
      </c>
      <c r="G202" s="464">
        <f t="shared" si="65"/>
        <v>268747.82</v>
      </c>
      <c r="H202" s="465">
        <f t="shared" si="65"/>
        <v>1</v>
      </c>
    </row>
    <row r="204" spans="1:8" ht="13.5" thickBot="1" x14ac:dyDescent="0.25">
      <c r="A204" s="22" t="s">
        <v>131</v>
      </c>
    </row>
    <row r="205" spans="1:8" ht="13.5" thickBot="1" x14ac:dyDescent="0.25">
      <c r="A205" s="23" t="s">
        <v>19</v>
      </c>
      <c r="B205" s="24" t="s">
        <v>20</v>
      </c>
      <c r="C205" s="133" t="s">
        <v>21</v>
      </c>
      <c r="D205" s="25" t="s">
        <v>22</v>
      </c>
      <c r="E205" s="26" t="s">
        <v>21</v>
      </c>
      <c r="F205" s="27" t="s">
        <v>23</v>
      </c>
      <c r="G205" s="25" t="s">
        <v>24</v>
      </c>
      <c r="H205" s="25" t="s">
        <v>21</v>
      </c>
    </row>
    <row r="206" spans="1:8" x14ac:dyDescent="0.2">
      <c r="A206" s="28" t="s">
        <v>25</v>
      </c>
      <c r="B206" s="29">
        <v>134401.04</v>
      </c>
      <c r="C206" s="134">
        <f t="shared" ref="C206:C210" si="66">B206/$B$211</f>
        <v>0.50931817678842817</v>
      </c>
      <c r="D206" s="31">
        <v>1795.47</v>
      </c>
      <c r="E206" s="30">
        <f>D206/$D$211</f>
        <v>0.25775688188637264</v>
      </c>
      <c r="F206" s="32">
        <v>-419</v>
      </c>
      <c r="G206" s="33">
        <f>B206+D206</f>
        <v>136196.51</v>
      </c>
      <c r="H206" s="34">
        <f t="shared" ref="H206:H210" si="67">G206/$G$211</f>
        <v>0.50284849558237021</v>
      </c>
    </row>
    <row r="207" spans="1:8" x14ac:dyDescent="0.2">
      <c r="A207" s="35" t="s">
        <v>26</v>
      </c>
      <c r="B207" s="36">
        <v>124031.65999999999</v>
      </c>
      <c r="C207" s="134">
        <f t="shared" si="66"/>
        <v>0.47002299189978147</v>
      </c>
      <c r="D207" s="29">
        <v>5065.7</v>
      </c>
      <c r="E207" s="30">
        <f t="shared" ref="E207:E210" si="68">D207/$D$211</f>
        <v>0.72722965940494555</v>
      </c>
      <c r="F207" s="38">
        <v>-2068.98</v>
      </c>
      <c r="G207" s="33">
        <f>B207+D207</f>
        <v>129097.35999999999</v>
      </c>
      <c r="H207" s="34">
        <f t="shared" si="67"/>
        <v>0.47663786142284881</v>
      </c>
    </row>
    <row r="208" spans="1:8" x14ac:dyDescent="0.2">
      <c r="A208" s="35" t="s">
        <v>27</v>
      </c>
      <c r="B208" s="36">
        <v>5451.54</v>
      </c>
      <c r="C208" s="134">
        <f t="shared" si="66"/>
        <v>2.0658831311790353E-2</v>
      </c>
      <c r="D208" s="33">
        <v>104.58</v>
      </c>
      <c r="E208" s="30">
        <f t="shared" si="68"/>
        <v>1.5013458708681765E-2</v>
      </c>
      <c r="F208" s="38">
        <v>-863.3</v>
      </c>
      <c r="G208" s="33">
        <f>B208+D208</f>
        <v>5556.12</v>
      </c>
      <c r="H208" s="34">
        <f t="shared" si="67"/>
        <v>2.0513642994780985E-2</v>
      </c>
    </row>
    <row r="209" spans="1:8" x14ac:dyDescent="0.2">
      <c r="A209" s="35" t="s">
        <v>28</v>
      </c>
      <c r="B209" s="36">
        <v>0</v>
      </c>
      <c r="C209" s="134">
        <f t="shared" si="66"/>
        <v>0</v>
      </c>
      <c r="D209" s="33">
        <v>0</v>
      </c>
      <c r="E209" s="30">
        <f t="shared" si="68"/>
        <v>0</v>
      </c>
      <c r="F209" s="38">
        <v>0</v>
      </c>
      <c r="G209" s="33">
        <f>B209+D209</f>
        <v>0</v>
      </c>
      <c r="H209" s="34">
        <f t="shared" si="67"/>
        <v>0</v>
      </c>
    </row>
    <row r="210" spans="1:8" ht="13.5" thickBot="1" x14ac:dyDescent="0.25">
      <c r="A210" s="40" t="s">
        <v>29</v>
      </c>
      <c r="B210" s="41">
        <v>0</v>
      </c>
      <c r="C210" s="134">
        <f t="shared" si="66"/>
        <v>0</v>
      </c>
      <c r="D210" s="42">
        <v>0</v>
      </c>
      <c r="E210" s="30">
        <f t="shared" si="68"/>
        <v>0</v>
      </c>
      <c r="F210" s="44">
        <v>0</v>
      </c>
      <c r="G210" s="33">
        <f>B210+D210</f>
        <v>0</v>
      </c>
      <c r="H210" s="34">
        <f t="shared" si="67"/>
        <v>0</v>
      </c>
    </row>
    <row r="211" spans="1:8" ht="13.5" thickBot="1" x14ac:dyDescent="0.25">
      <c r="A211" s="46" t="s">
        <v>24</v>
      </c>
      <c r="B211" s="47">
        <f t="shared" ref="B211:H211" si="69">SUM(B206:B210)</f>
        <v>263884.24</v>
      </c>
      <c r="C211" s="134">
        <f t="shared" si="69"/>
        <v>1</v>
      </c>
      <c r="D211" s="47">
        <f t="shared" si="69"/>
        <v>6965.75</v>
      </c>
      <c r="E211" s="134">
        <f t="shared" si="69"/>
        <v>0.99999999999999989</v>
      </c>
      <c r="F211" s="49">
        <f t="shared" si="69"/>
        <v>-3351.2799999999997</v>
      </c>
      <c r="G211" s="47">
        <f t="shared" si="69"/>
        <v>270849.99</v>
      </c>
      <c r="H211" s="134">
        <f t="shared" si="69"/>
        <v>1</v>
      </c>
    </row>
    <row r="213" spans="1:8" ht="13.5" thickBot="1" x14ac:dyDescent="0.25">
      <c r="A213" s="22" t="s">
        <v>117</v>
      </c>
    </row>
    <row r="214" spans="1:8" ht="13.5" thickBot="1" x14ac:dyDescent="0.25">
      <c r="A214" s="23" t="s">
        <v>19</v>
      </c>
      <c r="B214" s="24" t="s">
        <v>20</v>
      </c>
      <c r="C214" s="133" t="s">
        <v>21</v>
      </c>
      <c r="D214" s="25" t="s">
        <v>22</v>
      </c>
      <c r="E214" s="26" t="s">
        <v>21</v>
      </c>
      <c r="F214" s="27" t="s">
        <v>23</v>
      </c>
      <c r="G214" s="25" t="s">
        <v>24</v>
      </c>
      <c r="H214" s="25" t="s">
        <v>21</v>
      </c>
    </row>
    <row r="215" spans="1:8" x14ac:dyDescent="0.2">
      <c r="A215" s="28" t="s">
        <v>25</v>
      </c>
      <c r="B215" s="29">
        <v>140319.45000000001</v>
      </c>
      <c r="C215" s="134">
        <f>B215/$B$220</f>
        <v>0.98479478472197757</v>
      </c>
      <c r="D215" s="31">
        <v>387</v>
      </c>
      <c r="E215" s="30">
        <f t="shared" ref="E215:E220" si="70">D215/$D$220</f>
        <v>1</v>
      </c>
      <c r="F215" s="32">
        <v>0</v>
      </c>
      <c r="G215" s="33">
        <f>B215+D215</f>
        <v>140706.45000000001</v>
      </c>
      <c r="H215" s="34">
        <f t="shared" ref="H215:H220" si="71">G215/$G$220</f>
        <v>0.98483597108424559</v>
      </c>
    </row>
    <row r="216" spans="1:8" x14ac:dyDescent="0.2">
      <c r="A216" s="35" t="s">
        <v>26</v>
      </c>
      <c r="B216" s="36">
        <v>2166.5300000000002</v>
      </c>
      <c r="C216" s="135">
        <f>B216/$B$220</f>
        <v>1.5205215278022441E-2</v>
      </c>
      <c r="D216" s="29">
        <v>0</v>
      </c>
      <c r="E216" s="30">
        <f t="shared" si="70"/>
        <v>0</v>
      </c>
      <c r="F216" s="38">
        <v>0</v>
      </c>
      <c r="G216" s="33">
        <f>B216+D216</f>
        <v>2166.5300000000002</v>
      </c>
      <c r="H216" s="34">
        <f t="shared" si="71"/>
        <v>1.5164028915754399E-2</v>
      </c>
    </row>
    <row r="217" spans="1:8" x14ac:dyDescent="0.2">
      <c r="A217" s="35" t="s">
        <v>27</v>
      </c>
      <c r="B217" s="36">
        <v>0</v>
      </c>
      <c r="C217" s="135">
        <f>B217/$B$220</f>
        <v>0</v>
      </c>
      <c r="D217" s="33">
        <v>0</v>
      </c>
      <c r="E217" s="30">
        <f t="shared" si="70"/>
        <v>0</v>
      </c>
      <c r="F217" s="38">
        <v>0</v>
      </c>
      <c r="G217" s="33">
        <f>B217+D217</f>
        <v>0</v>
      </c>
      <c r="H217" s="34">
        <f t="shared" si="71"/>
        <v>0</v>
      </c>
    </row>
    <row r="218" spans="1:8" x14ac:dyDescent="0.2">
      <c r="A218" s="35" t="s">
        <v>28</v>
      </c>
      <c r="B218" s="36">
        <v>0</v>
      </c>
      <c r="C218" s="135">
        <f>B218/$B$220</f>
        <v>0</v>
      </c>
      <c r="D218" s="33">
        <v>0</v>
      </c>
      <c r="E218" s="30">
        <f t="shared" si="70"/>
        <v>0</v>
      </c>
      <c r="F218" s="38">
        <v>0</v>
      </c>
      <c r="G218" s="33">
        <f>B218+D218</f>
        <v>0</v>
      </c>
      <c r="H218" s="34">
        <f t="shared" si="71"/>
        <v>0</v>
      </c>
    </row>
    <row r="219" spans="1:8" ht="13.5" thickBot="1" x14ac:dyDescent="0.25">
      <c r="A219" s="40" t="s">
        <v>29</v>
      </c>
      <c r="B219" s="41">
        <v>0</v>
      </c>
      <c r="C219" s="136">
        <f>B219/$B$220</f>
        <v>0</v>
      </c>
      <c r="D219" s="42">
        <v>0</v>
      </c>
      <c r="E219" s="30">
        <f t="shared" si="70"/>
        <v>0</v>
      </c>
      <c r="F219" s="44">
        <v>0</v>
      </c>
      <c r="G219" s="33">
        <f>B219+D219</f>
        <v>0</v>
      </c>
      <c r="H219" s="34">
        <f t="shared" si="71"/>
        <v>0</v>
      </c>
    </row>
    <row r="220" spans="1:8" ht="13.5" thickBot="1" x14ac:dyDescent="0.25">
      <c r="A220" s="46" t="s">
        <v>24</v>
      </c>
      <c r="B220" s="47">
        <f>SUM(B215:B219)</f>
        <v>142485.98000000001</v>
      </c>
      <c r="C220" s="137">
        <f>B220/B220</f>
        <v>1</v>
      </c>
      <c r="D220" s="47">
        <f>SUM(D215:D219)</f>
        <v>387</v>
      </c>
      <c r="E220" s="48">
        <f t="shared" si="70"/>
        <v>1</v>
      </c>
      <c r="F220" s="49">
        <f>SUM(F215:F219)</f>
        <v>0</v>
      </c>
      <c r="G220" s="47">
        <f>SUM(G215:G219)</f>
        <v>142872.98000000001</v>
      </c>
      <c r="H220" s="50">
        <f t="shared" si="71"/>
        <v>1</v>
      </c>
    </row>
    <row r="222" spans="1:8" x14ac:dyDescent="0.2">
      <c r="B222"/>
      <c r="C222"/>
      <c r="D222"/>
      <c r="E222"/>
      <c r="F222"/>
      <c r="G222"/>
      <c r="H222"/>
    </row>
    <row r="223" spans="1:8" x14ac:dyDescent="0.2">
      <c r="B223"/>
      <c r="C223"/>
      <c r="D223"/>
      <c r="E223"/>
      <c r="F223"/>
      <c r="G223"/>
      <c r="H223"/>
    </row>
    <row r="224" spans="1:8" x14ac:dyDescent="0.2">
      <c r="B224"/>
      <c r="C224"/>
      <c r="D224"/>
      <c r="E224"/>
      <c r="F224"/>
      <c r="G224"/>
      <c r="H224"/>
    </row>
    <row r="225" spans="2:8" x14ac:dyDescent="0.2">
      <c r="B225"/>
      <c r="C225"/>
      <c r="D225"/>
      <c r="E225"/>
      <c r="F225"/>
      <c r="G225"/>
      <c r="H225"/>
    </row>
    <row r="226" spans="2:8" x14ac:dyDescent="0.2">
      <c r="B226"/>
      <c r="C226"/>
      <c r="D226"/>
      <c r="E226"/>
      <c r="F226"/>
      <c r="G226"/>
      <c r="H226"/>
    </row>
    <row r="227" spans="2:8" x14ac:dyDescent="0.2">
      <c r="B227"/>
      <c r="C227"/>
      <c r="D227"/>
      <c r="E227"/>
      <c r="F227"/>
      <c r="G227"/>
      <c r="H227"/>
    </row>
    <row r="228" spans="2:8" x14ac:dyDescent="0.2">
      <c r="B228"/>
      <c r="C228"/>
      <c r="D228"/>
      <c r="E228"/>
      <c r="F228"/>
      <c r="G228"/>
      <c r="H228"/>
    </row>
    <row r="229" spans="2:8" x14ac:dyDescent="0.2">
      <c r="B229"/>
      <c r="C229"/>
      <c r="D229"/>
      <c r="E229"/>
      <c r="F229"/>
      <c r="G229"/>
      <c r="H229"/>
    </row>
    <row r="230" spans="2:8" x14ac:dyDescent="0.2">
      <c r="B230"/>
      <c r="C230"/>
      <c r="D230"/>
      <c r="E230"/>
      <c r="F230"/>
      <c r="G230"/>
      <c r="H230"/>
    </row>
    <row r="231" spans="2:8" x14ac:dyDescent="0.2">
      <c r="B231"/>
      <c r="C231"/>
      <c r="D231"/>
      <c r="E231"/>
      <c r="F231"/>
      <c r="G231"/>
      <c r="H231"/>
    </row>
    <row r="232" spans="2:8" x14ac:dyDescent="0.2">
      <c r="B232"/>
      <c r="C232"/>
      <c r="D232"/>
      <c r="E232"/>
      <c r="F232"/>
      <c r="G232"/>
      <c r="H232"/>
    </row>
    <row r="233" spans="2:8" x14ac:dyDescent="0.2">
      <c r="B233"/>
      <c r="C233"/>
      <c r="D233"/>
      <c r="E233"/>
      <c r="F233"/>
      <c r="G233"/>
      <c r="H233"/>
    </row>
    <row r="234" spans="2:8" x14ac:dyDescent="0.2">
      <c r="B234"/>
      <c r="C234"/>
      <c r="D234"/>
      <c r="E234"/>
      <c r="F234"/>
      <c r="G234"/>
      <c r="H234"/>
    </row>
    <row r="235" spans="2:8" x14ac:dyDescent="0.2">
      <c r="B235"/>
      <c r="C235"/>
      <c r="D235"/>
      <c r="E235"/>
      <c r="F235"/>
      <c r="G235"/>
      <c r="H235"/>
    </row>
    <row r="236" spans="2:8" x14ac:dyDescent="0.2">
      <c r="B236"/>
      <c r="C236"/>
      <c r="D236"/>
      <c r="E236"/>
      <c r="F236"/>
      <c r="G236"/>
      <c r="H236"/>
    </row>
    <row r="237" spans="2:8" x14ac:dyDescent="0.2">
      <c r="B237"/>
      <c r="C237"/>
      <c r="D237"/>
      <c r="E237"/>
      <c r="F237"/>
      <c r="G237"/>
      <c r="H237"/>
    </row>
    <row r="238" spans="2:8" x14ac:dyDescent="0.2">
      <c r="B238"/>
      <c r="C238"/>
      <c r="D238"/>
      <c r="E238"/>
      <c r="F238"/>
      <c r="G238"/>
      <c r="H238"/>
    </row>
    <row r="239" spans="2:8" x14ac:dyDescent="0.2">
      <c r="B239"/>
      <c r="C239"/>
      <c r="D239"/>
      <c r="E239"/>
      <c r="F239"/>
      <c r="G239"/>
      <c r="H239"/>
    </row>
    <row r="240" spans="2:8" x14ac:dyDescent="0.2">
      <c r="B240"/>
      <c r="C240"/>
      <c r="D240"/>
      <c r="E240"/>
      <c r="F240"/>
      <c r="G240"/>
      <c r="H240"/>
    </row>
    <row r="241" spans="2:8" x14ac:dyDescent="0.2">
      <c r="B241"/>
      <c r="C241"/>
      <c r="D241"/>
      <c r="E241"/>
      <c r="F241"/>
      <c r="G241"/>
      <c r="H241"/>
    </row>
    <row r="242" spans="2:8" x14ac:dyDescent="0.2">
      <c r="B242"/>
      <c r="C242"/>
      <c r="D242"/>
      <c r="E242"/>
      <c r="F242"/>
      <c r="G242"/>
      <c r="H242"/>
    </row>
    <row r="243" spans="2:8" x14ac:dyDescent="0.2">
      <c r="B243"/>
      <c r="C243"/>
      <c r="D243"/>
      <c r="E243"/>
      <c r="F243"/>
      <c r="G243"/>
      <c r="H243"/>
    </row>
    <row r="244" spans="2:8" x14ac:dyDescent="0.2">
      <c r="B244"/>
      <c r="C244"/>
      <c r="D244"/>
      <c r="E244"/>
      <c r="F244"/>
      <c r="G244"/>
      <c r="H244"/>
    </row>
    <row r="245" spans="2:8" x14ac:dyDescent="0.2">
      <c r="B245"/>
      <c r="C245"/>
      <c r="D245"/>
      <c r="E245"/>
      <c r="F245"/>
      <c r="G245"/>
      <c r="H245"/>
    </row>
    <row r="246" spans="2:8" x14ac:dyDescent="0.2">
      <c r="B246"/>
      <c r="C246"/>
      <c r="D246"/>
      <c r="E246"/>
      <c r="F246"/>
      <c r="G246"/>
      <c r="H246"/>
    </row>
    <row r="247" spans="2:8" x14ac:dyDescent="0.2">
      <c r="B247"/>
      <c r="C247"/>
      <c r="D247"/>
      <c r="E247"/>
      <c r="F247"/>
      <c r="G247"/>
      <c r="H247"/>
    </row>
    <row r="248" spans="2:8" x14ac:dyDescent="0.2">
      <c r="B248"/>
      <c r="C248"/>
      <c r="D248"/>
      <c r="E248"/>
      <c r="F248"/>
      <c r="G248"/>
      <c r="H248"/>
    </row>
    <row r="249" spans="2:8" x14ac:dyDescent="0.2">
      <c r="B249"/>
      <c r="C249"/>
      <c r="D249"/>
      <c r="E249"/>
      <c r="F249"/>
      <c r="G249"/>
      <c r="H249"/>
    </row>
    <row r="250" spans="2:8" x14ac:dyDescent="0.2">
      <c r="B250"/>
      <c r="C250"/>
      <c r="D250"/>
      <c r="E250"/>
      <c r="F250"/>
      <c r="G250"/>
      <c r="H250"/>
    </row>
    <row r="251" spans="2:8" x14ac:dyDescent="0.2">
      <c r="B251"/>
      <c r="C251"/>
      <c r="D251"/>
      <c r="E251"/>
      <c r="F251"/>
      <c r="G251"/>
      <c r="H251"/>
    </row>
    <row r="252" spans="2:8" x14ac:dyDescent="0.2">
      <c r="B252"/>
      <c r="C252"/>
      <c r="D252"/>
      <c r="E252"/>
      <c r="F252"/>
      <c r="G252"/>
      <c r="H252"/>
    </row>
    <row r="253" spans="2:8" x14ac:dyDescent="0.2">
      <c r="B253"/>
      <c r="C253"/>
      <c r="D253"/>
      <c r="E253"/>
      <c r="F253"/>
      <c r="G253"/>
      <c r="H253"/>
    </row>
    <row r="254" spans="2:8" x14ac:dyDescent="0.2">
      <c r="B254"/>
      <c r="C254"/>
      <c r="D254"/>
      <c r="E254"/>
      <c r="F254"/>
      <c r="G254"/>
      <c r="H254"/>
    </row>
    <row r="255" spans="2:8" x14ac:dyDescent="0.2">
      <c r="B255"/>
      <c r="C255"/>
      <c r="D255"/>
      <c r="E255"/>
      <c r="F255"/>
      <c r="G255"/>
      <c r="H255"/>
    </row>
    <row r="256" spans="2:8" x14ac:dyDescent="0.2">
      <c r="B256"/>
      <c r="C256"/>
      <c r="D256"/>
      <c r="E256"/>
      <c r="F256"/>
      <c r="G256"/>
      <c r="H256"/>
    </row>
    <row r="257" spans="2:8" x14ac:dyDescent="0.2">
      <c r="B257"/>
      <c r="C257"/>
      <c r="D257"/>
      <c r="E257"/>
      <c r="F257"/>
      <c r="G257"/>
      <c r="H257"/>
    </row>
    <row r="258" spans="2:8" x14ac:dyDescent="0.2">
      <c r="B258"/>
      <c r="C258"/>
      <c r="D258"/>
      <c r="E258"/>
      <c r="F258"/>
      <c r="G258"/>
      <c r="H258"/>
    </row>
    <row r="259" spans="2:8" x14ac:dyDescent="0.2">
      <c r="B259"/>
      <c r="C259"/>
      <c r="D259"/>
      <c r="E259"/>
      <c r="F259"/>
      <c r="G259"/>
      <c r="H259"/>
    </row>
    <row r="260" spans="2:8" x14ac:dyDescent="0.2">
      <c r="B260"/>
      <c r="C260"/>
      <c r="D260"/>
      <c r="E260"/>
      <c r="F260"/>
      <c r="G260"/>
      <c r="H260"/>
    </row>
    <row r="261" spans="2:8" x14ac:dyDescent="0.2">
      <c r="B261"/>
      <c r="C261"/>
      <c r="D261"/>
      <c r="E261"/>
      <c r="F261"/>
      <c r="G261"/>
      <c r="H261"/>
    </row>
    <row r="262" spans="2:8" x14ac:dyDescent="0.2">
      <c r="B262"/>
      <c r="C262"/>
      <c r="D262"/>
      <c r="E262"/>
      <c r="F262"/>
      <c r="G262"/>
      <c r="H262"/>
    </row>
    <row r="263" spans="2:8" x14ac:dyDescent="0.2">
      <c r="B263"/>
      <c r="C263"/>
      <c r="D263"/>
      <c r="E263"/>
      <c r="F263"/>
      <c r="G263"/>
      <c r="H263"/>
    </row>
    <row r="264" spans="2:8" x14ac:dyDescent="0.2">
      <c r="B264"/>
      <c r="C264"/>
      <c r="D264"/>
      <c r="E264"/>
      <c r="F264"/>
      <c r="G264"/>
      <c r="H264"/>
    </row>
    <row r="265" spans="2:8" x14ac:dyDescent="0.2">
      <c r="B265"/>
      <c r="C265"/>
      <c r="D265"/>
      <c r="E265"/>
      <c r="F265"/>
      <c r="G265"/>
      <c r="H265"/>
    </row>
    <row r="266" spans="2:8" x14ac:dyDescent="0.2">
      <c r="B266"/>
      <c r="C266"/>
      <c r="D266"/>
      <c r="E266"/>
      <c r="F266"/>
      <c r="G266"/>
      <c r="H266"/>
    </row>
    <row r="267" spans="2:8" x14ac:dyDescent="0.2">
      <c r="B267"/>
      <c r="C267"/>
      <c r="D267"/>
      <c r="E267"/>
      <c r="F267"/>
      <c r="G267"/>
      <c r="H267"/>
    </row>
    <row r="268" spans="2:8" x14ac:dyDescent="0.2">
      <c r="B268"/>
      <c r="C268"/>
      <c r="D268"/>
      <c r="E268"/>
      <c r="F268"/>
      <c r="G268"/>
      <c r="H268"/>
    </row>
    <row r="269" spans="2:8" x14ac:dyDescent="0.2">
      <c r="B269"/>
      <c r="C269"/>
      <c r="D269"/>
      <c r="E269"/>
      <c r="F269"/>
      <c r="G269"/>
      <c r="H269"/>
    </row>
    <row r="270" spans="2:8" x14ac:dyDescent="0.2">
      <c r="B270"/>
      <c r="C270"/>
      <c r="D270"/>
      <c r="E270"/>
      <c r="F270"/>
      <c r="G270"/>
      <c r="H270"/>
    </row>
    <row r="271" spans="2:8" x14ac:dyDescent="0.2">
      <c r="B271"/>
      <c r="C271"/>
      <c r="D271"/>
      <c r="E271"/>
      <c r="F271"/>
      <c r="G271"/>
      <c r="H271"/>
    </row>
    <row r="272" spans="2:8" x14ac:dyDescent="0.2">
      <c r="B272"/>
      <c r="C272"/>
      <c r="D272"/>
      <c r="E272"/>
      <c r="F272"/>
      <c r="G272"/>
      <c r="H272"/>
    </row>
    <row r="273" spans="2:8" x14ac:dyDescent="0.2">
      <c r="B273"/>
      <c r="C273"/>
      <c r="D273"/>
      <c r="E273"/>
      <c r="F273"/>
      <c r="G273"/>
      <c r="H273"/>
    </row>
    <row r="274" spans="2:8" x14ac:dyDescent="0.2">
      <c r="B274"/>
      <c r="C274"/>
      <c r="D274"/>
      <c r="E274"/>
      <c r="F274"/>
      <c r="G274"/>
      <c r="H274"/>
    </row>
    <row r="275" spans="2:8" x14ac:dyDescent="0.2">
      <c r="B275"/>
      <c r="C275"/>
      <c r="D275"/>
      <c r="E275"/>
      <c r="F275"/>
      <c r="G275"/>
      <c r="H275"/>
    </row>
    <row r="276" spans="2:8" x14ac:dyDescent="0.2">
      <c r="B276"/>
      <c r="C276"/>
      <c r="D276"/>
      <c r="E276"/>
      <c r="F276"/>
      <c r="G276"/>
      <c r="H276"/>
    </row>
    <row r="277" spans="2:8" x14ac:dyDescent="0.2">
      <c r="B277"/>
      <c r="C277"/>
      <c r="D277"/>
      <c r="E277"/>
      <c r="F277"/>
      <c r="G277"/>
      <c r="H277"/>
    </row>
    <row r="278" spans="2:8" x14ac:dyDescent="0.2">
      <c r="B278"/>
      <c r="C278"/>
      <c r="D278"/>
      <c r="E278"/>
      <c r="F278"/>
      <c r="G278"/>
      <c r="H278"/>
    </row>
    <row r="279" spans="2:8" x14ac:dyDescent="0.2">
      <c r="B279"/>
      <c r="C279"/>
      <c r="D279"/>
      <c r="E279"/>
      <c r="F279"/>
      <c r="G279"/>
      <c r="H279"/>
    </row>
    <row r="280" spans="2:8" x14ac:dyDescent="0.2">
      <c r="B280"/>
      <c r="C280"/>
      <c r="D280"/>
      <c r="E280"/>
      <c r="F280"/>
      <c r="G280"/>
      <c r="H280"/>
    </row>
    <row r="281" spans="2:8" x14ac:dyDescent="0.2">
      <c r="B281"/>
      <c r="C281"/>
      <c r="D281"/>
      <c r="E281"/>
      <c r="F281"/>
      <c r="G281"/>
      <c r="H281"/>
    </row>
    <row r="282" spans="2:8" x14ac:dyDescent="0.2">
      <c r="B282"/>
      <c r="C282"/>
      <c r="D282"/>
      <c r="E282"/>
      <c r="F282"/>
      <c r="G282"/>
      <c r="H282"/>
    </row>
    <row r="283" spans="2:8" x14ac:dyDescent="0.2">
      <c r="B283"/>
      <c r="C283"/>
      <c r="D283"/>
      <c r="E283"/>
      <c r="F283"/>
      <c r="G283"/>
      <c r="H283"/>
    </row>
    <row r="284" spans="2:8" x14ac:dyDescent="0.2">
      <c r="B284"/>
      <c r="C284"/>
      <c r="D284"/>
      <c r="E284"/>
      <c r="F284"/>
      <c r="G284"/>
      <c r="H284"/>
    </row>
    <row r="285" spans="2:8" x14ac:dyDescent="0.2">
      <c r="B285"/>
      <c r="C285"/>
      <c r="D285"/>
      <c r="E285"/>
      <c r="F285"/>
      <c r="G285"/>
      <c r="H285"/>
    </row>
    <row r="286" spans="2:8" x14ac:dyDescent="0.2">
      <c r="B286"/>
      <c r="C286"/>
      <c r="D286"/>
      <c r="E286"/>
      <c r="F286"/>
      <c r="G286"/>
      <c r="H286"/>
    </row>
    <row r="287" spans="2:8" x14ac:dyDescent="0.2">
      <c r="B287"/>
      <c r="C287"/>
      <c r="D287"/>
      <c r="E287"/>
      <c r="F287"/>
      <c r="G287"/>
      <c r="H287"/>
    </row>
    <row r="288" spans="2:8" x14ac:dyDescent="0.2">
      <c r="B288"/>
      <c r="C288"/>
      <c r="D288"/>
      <c r="E288"/>
      <c r="F288"/>
      <c r="G288"/>
      <c r="H288"/>
    </row>
    <row r="289" spans="2:8" x14ac:dyDescent="0.2">
      <c r="B289"/>
      <c r="C289"/>
      <c r="D289"/>
      <c r="E289"/>
      <c r="F289"/>
      <c r="G289"/>
      <c r="H289"/>
    </row>
    <row r="290" spans="2:8" x14ac:dyDescent="0.2">
      <c r="B290"/>
      <c r="C290"/>
      <c r="D290"/>
      <c r="E290"/>
      <c r="F290"/>
      <c r="G290"/>
      <c r="H290"/>
    </row>
    <row r="291" spans="2:8" x14ac:dyDescent="0.2">
      <c r="B291"/>
      <c r="C291"/>
      <c r="D291"/>
      <c r="E291"/>
      <c r="F291"/>
      <c r="G291"/>
      <c r="H291"/>
    </row>
    <row r="292" spans="2:8" x14ac:dyDescent="0.2">
      <c r="B292"/>
      <c r="C292"/>
      <c r="D292"/>
      <c r="E292"/>
      <c r="F292"/>
      <c r="G292"/>
      <c r="H292"/>
    </row>
    <row r="293" spans="2:8" x14ac:dyDescent="0.2">
      <c r="B293"/>
      <c r="C293"/>
      <c r="D293"/>
      <c r="E293"/>
      <c r="F293"/>
      <c r="G293"/>
      <c r="H293"/>
    </row>
    <row r="294" spans="2:8" x14ac:dyDescent="0.2">
      <c r="B294"/>
      <c r="C294"/>
      <c r="D294"/>
      <c r="E294"/>
      <c r="F294"/>
      <c r="G294"/>
      <c r="H294"/>
    </row>
    <row r="295" spans="2:8" x14ac:dyDescent="0.2">
      <c r="B295"/>
      <c r="C295"/>
      <c r="D295"/>
      <c r="E295"/>
      <c r="F295"/>
      <c r="G295"/>
      <c r="H295"/>
    </row>
    <row r="296" spans="2:8" x14ac:dyDescent="0.2">
      <c r="B296"/>
      <c r="C296"/>
      <c r="D296"/>
      <c r="E296"/>
      <c r="F296"/>
      <c r="G296"/>
      <c r="H296"/>
    </row>
    <row r="297" spans="2:8" x14ac:dyDescent="0.2">
      <c r="B297"/>
      <c r="C297"/>
      <c r="D297"/>
      <c r="E297"/>
      <c r="F297"/>
      <c r="G297"/>
      <c r="H297"/>
    </row>
    <row r="298" spans="2:8" x14ac:dyDescent="0.2">
      <c r="B298"/>
      <c r="C298"/>
      <c r="D298"/>
      <c r="E298"/>
      <c r="F298"/>
      <c r="G298"/>
      <c r="H298"/>
    </row>
    <row r="299" spans="2:8" x14ac:dyDescent="0.2">
      <c r="B299"/>
      <c r="C299"/>
      <c r="D299"/>
      <c r="E299"/>
      <c r="F299"/>
      <c r="G299"/>
      <c r="H299"/>
    </row>
    <row r="300" spans="2:8" x14ac:dyDescent="0.2">
      <c r="B300"/>
      <c r="C300"/>
      <c r="D300"/>
      <c r="E300"/>
      <c r="F300"/>
      <c r="G300"/>
      <c r="H300"/>
    </row>
    <row r="301" spans="2:8" x14ac:dyDescent="0.2">
      <c r="B301"/>
      <c r="C301"/>
      <c r="D301"/>
      <c r="E301"/>
      <c r="F301"/>
      <c r="G301"/>
      <c r="H301"/>
    </row>
    <row r="302" spans="2:8" x14ac:dyDescent="0.2">
      <c r="B302"/>
      <c r="C302"/>
      <c r="D302"/>
      <c r="E302"/>
      <c r="F302"/>
      <c r="G302"/>
      <c r="H302"/>
    </row>
    <row r="303" spans="2:8" x14ac:dyDescent="0.2">
      <c r="B303"/>
      <c r="C303"/>
      <c r="D303"/>
      <c r="E303"/>
      <c r="F303"/>
      <c r="G303"/>
      <c r="H303"/>
    </row>
    <row r="304" spans="2:8" x14ac:dyDescent="0.2">
      <c r="B304"/>
      <c r="C304"/>
      <c r="D304"/>
      <c r="E304"/>
      <c r="F304"/>
      <c r="G304"/>
      <c r="H304"/>
    </row>
    <row r="305" spans="2:8" x14ac:dyDescent="0.2">
      <c r="B305"/>
      <c r="C305"/>
      <c r="D305"/>
      <c r="E305"/>
      <c r="F305"/>
      <c r="G305"/>
      <c r="H305"/>
    </row>
    <row r="306" spans="2:8" x14ac:dyDescent="0.2">
      <c r="B306"/>
      <c r="C306"/>
      <c r="D306"/>
      <c r="E306"/>
      <c r="F306"/>
      <c r="G306"/>
      <c r="H306"/>
    </row>
    <row r="307" spans="2:8" x14ac:dyDescent="0.2">
      <c r="B307"/>
      <c r="C307"/>
      <c r="D307"/>
      <c r="E307"/>
      <c r="F307"/>
      <c r="G307"/>
      <c r="H307"/>
    </row>
    <row r="308" spans="2:8" x14ac:dyDescent="0.2">
      <c r="B308"/>
      <c r="C308"/>
      <c r="D308"/>
      <c r="E308"/>
      <c r="F308"/>
      <c r="G308"/>
      <c r="H308"/>
    </row>
    <row r="309" spans="2:8" x14ac:dyDescent="0.2">
      <c r="B309"/>
      <c r="C309"/>
      <c r="D309"/>
      <c r="E309"/>
      <c r="F309"/>
      <c r="G309"/>
      <c r="H309"/>
    </row>
    <row r="310" spans="2:8" x14ac:dyDescent="0.2">
      <c r="B310"/>
      <c r="C310"/>
      <c r="D310"/>
      <c r="E310"/>
      <c r="F310"/>
      <c r="G310"/>
      <c r="H310"/>
    </row>
    <row r="311" spans="2:8" x14ac:dyDescent="0.2">
      <c r="B311"/>
      <c r="C311"/>
      <c r="D311"/>
      <c r="E311"/>
      <c r="F311"/>
      <c r="G311"/>
      <c r="H311"/>
    </row>
    <row r="312" spans="2:8" x14ac:dyDescent="0.2">
      <c r="B312"/>
      <c r="C312"/>
      <c r="D312"/>
      <c r="E312"/>
      <c r="F312"/>
      <c r="G312"/>
      <c r="H312"/>
    </row>
    <row r="313" spans="2:8" x14ac:dyDescent="0.2">
      <c r="B313"/>
      <c r="C313"/>
      <c r="D313"/>
      <c r="E313"/>
      <c r="F313"/>
      <c r="G313"/>
      <c r="H313"/>
    </row>
    <row r="314" spans="2:8" x14ac:dyDescent="0.2">
      <c r="B314"/>
      <c r="C314"/>
      <c r="D314"/>
      <c r="E314"/>
      <c r="F314"/>
      <c r="G314"/>
      <c r="H314"/>
    </row>
    <row r="315" spans="2:8" x14ac:dyDescent="0.2">
      <c r="B315"/>
      <c r="C315"/>
      <c r="D315"/>
      <c r="E315"/>
      <c r="F315"/>
      <c r="G315"/>
      <c r="H315"/>
    </row>
    <row r="316" spans="2:8" x14ac:dyDescent="0.2">
      <c r="B316"/>
      <c r="C316"/>
      <c r="D316"/>
      <c r="E316"/>
      <c r="F316"/>
      <c r="G316"/>
      <c r="H316"/>
    </row>
    <row r="317" spans="2:8" x14ac:dyDescent="0.2">
      <c r="B317"/>
      <c r="C317"/>
      <c r="D317"/>
      <c r="E317"/>
      <c r="F317"/>
      <c r="G317"/>
      <c r="H317"/>
    </row>
    <row r="318" spans="2:8" x14ac:dyDescent="0.2">
      <c r="B318"/>
      <c r="C318"/>
      <c r="D318"/>
      <c r="E318"/>
      <c r="F318"/>
      <c r="G318"/>
      <c r="H318"/>
    </row>
    <row r="319" spans="2:8" x14ac:dyDescent="0.2">
      <c r="B319"/>
      <c r="C319"/>
      <c r="D319"/>
      <c r="E319"/>
      <c r="F319"/>
      <c r="G319"/>
      <c r="H319"/>
    </row>
    <row r="320" spans="2:8" x14ac:dyDescent="0.2">
      <c r="B320"/>
      <c r="C320"/>
      <c r="D320"/>
      <c r="E320"/>
      <c r="F320"/>
      <c r="G320"/>
      <c r="H320"/>
    </row>
    <row r="321" spans="2:8" x14ac:dyDescent="0.2">
      <c r="B321"/>
      <c r="C321"/>
      <c r="D321"/>
      <c r="E321"/>
      <c r="F321"/>
      <c r="G321"/>
      <c r="H321"/>
    </row>
    <row r="322" spans="2:8" x14ac:dyDescent="0.2">
      <c r="B322"/>
      <c r="C322"/>
      <c r="D322"/>
      <c r="E322"/>
      <c r="F322"/>
      <c r="G322"/>
      <c r="H322"/>
    </row>
    <row r="323" spans="2:8" x14ac:dyDescent="0.2">
      <c r="B323"/>
      <c r="C323"/>
      <c r="D323"/>
      <c r="E323"/>
      <c r="F323"/>
      <c r="G323"/>
      <c r="H323"/>
    </row>
    <row r="324" spans="2:8" x14ac:dyDescent="0.2">
      <c r="B324"/>
      <c r="C324"/>
      <c r="D324"/>
      <c r="E324"/>
      <c r="F324"/>
      <c r="G324"/>
      <c r="H324"/>
    </row>
    <row r="325" spans="2:8" x14ac:dyDescent="0.2">
      <c r="B325"/>
      <c r="C325"/>
      <c r="D325"/>
      <c r="E325"/>
      <c r="F325"/>
      <c r="G325"/>
      <c r="H325"/>
    </row>
    <row r="326" spans="2:8" x14ac:dyDescent="0.2">
      <c r="B326"/>
      <c r="C326"/>
      <c r="D326"/>
      <c r="E326"/>
      <c r="F326"/>
      <c r="G326"/>
      <c r="H326"/>
    </row>
    <row r="327" spans="2:8" x14ac:dyDescent="0.2">
      <c r="B327"/>
      <c r="C327"/>
      <c r="D327"/>
      <c r="E327"/>
      <c r="F327"/>
      <c r="G327"/>
      <c r="H327"/>
    </row>
    <row r="328" spans="2:8" x14ac:dyDescent="0.2">
      <c r="B328"/>
      <c r="C328"/>
      <c r="D328"/>
      <c r="E328"/>
      <c r="F328"/>
      <c r="G328"/>
      <c r="H328"/>
    </row>
    <row r="329" spans="2:8" x14ac:dyDescent="0.2">
      <c r="B329"/>
      <c r="C329"/>
      <c r="D329"/>
      <c r="E329"/>
      <c r="F329"/>
      <c r="G329"/>
      <c r="H329"/>
    </row>
    <row r="330" spans="2:8" x14ac:dyDescent="0.2">
      <c r="B330"/>
      <c r="C330"/>
      <c r="D330"/>
      <c r="E330"/>
      <c r="F330"/>
      <c r="G330"/>
      <c r="H330"/>
    </row>
    <row r="331" spans="2:8" x14ac:dyDescent="0.2">
      <c r="B331"/>
      <c r="C331"/>
      <c r="D331"/>
      <c r="E331"/>
      <c r="F331"/>
      <c r="G331"/>
      <c r="H331"/>
    </row>
    <row r="332" spans="2:8" x14ac:dyDescent="0.2">
      <c r="B332"/>
      <c r="C332"/>
      <c r="D332"/>
      <c r="E332"/>
      <c r="F332"/>
      <c r="G332"/>
      <c r="H332"/>
    </row>
    <row r="333" spans="2:8" x14ac:dyDescent="0.2">
      <c r="B333"/>
      <c r="C333"/>
      <c r="D333"/>
      <c r="E333"/>
      <c r="F333"/>
      <c r="G333"/>
      <c r="H333"/>
    </row>
    <row r="334" spans="2:8" x14ac:dyDescent="0.2">
      <c r="B334"/>
      <c r="C334"/>
      <c r="D334"/>
      <c r="E334"/>
      <c r="F334"/>
      <c r="G334"/>
      <c r="H334"/>
    </row>
    <row r="335" spans="2:8" x14ac:dyDescent="0.2">
      <c r="B335"/>
      <c r="C335"/>
      <c r="D335"/>
      <c r="E335"/>
      <c r="F335"/>
      <c r="G335"/>
      <c r="H335"/>
    </row>
    <row r="336" spans="2:8" x14ac:dyDescent="0.2">
      <c r="B336"/>
      <c r="C336"/>
      <c r="D336"/>
      <c r="E336"/>
      <c r="F336"/>
      <c r="G336"/>
      <c r="H336"/>
    </row>
    <row r="337" spans="2:8" x14ac:dyDescent="0.2">
      <c r="B337"/>
      <c r="C337"/>
      <c r="D337"/>
      <c r="E337"/>
      <c r="F337"/>
      <c r="G337"/>
      <c r="H337"/>
    </row>
    <row r="338" spans="2:8" x14ac:dyDescent="0.2">
      <c r="B338"/>
      <c r="C338"/>
      <c r="D338"/>
      <c r="E338"/>
      <c r="F338"/>
      <c r="G338"/>
      <c r="H338"/>
    </row>
    <row r="339" spans="2:8" x14ac:dyDescent="0.2">
      <c r="B339"/>
      <c r="C339"/>
      <c r="D339"/>
      <c r="E339"/>
      <c r="F339"/>
      <c r="G339"/>
      <c r="H339"/>
    </row>
    <row r="340" spans="2:8" x14ac:dyDescent="0.2">
      <c r="B340"/>
      <c r="C340"/>
      <c r="D340"/>
      <c r="E340"/>
      <c r="F340"/>
      <c r="G340"/>
      <c r="H340"/>
    </row>
    <row r="341" spans="2:8" x14ac:dyDescent="0.2">
      <c r="B341"/>
      <c r="C341"/>
      <c r="D341"/>
      <c r="E341"/>
      <c r="F341"/>
      <c r="G341"/>
      <c r="H341"/>
    </row>
    <row r="342" spans="2:8" x14ac:dyDescent="0.2">
      <c r="B342"/>
      <c r="C342"/>
      <c r="D342"/>
      <c r="E342"/>
      <c r="F342"/>
      <c r="G342"/>
      <c r="H342"/>
    </row>
    <row r="343" spans="2:8" x14ac:dyDescent="0.2">
      <c r="B343"/>
      <c r="C343"/>
      <c r="D343"/>
      <c r="E343"/>
      <c r="F343"/>
      <c r="G343"/>
      <c r="H343"/>
    </row>
    <row r="344" spans="2:8" x14ac:dyDescent="0.2">
      <c r="B344"/>
      <c r="C344"/>
      <c r="D344"/>
      <c r="E344"/>
      <c r="F344"/>
      <c r="G344"/>
      <c r="H344"/>
    </row>
    <row r="345" spans="2:8" x14ac:dyDescent="0.2">
      <c r="B345"/>
      <c r="C345"/>
      <c r="D345"/>
      <c r="E345"/>
      <c r="F345"/>
      <c r="G345"/>
      <c r="H345"/>
    </row>
    <row r="346" spans="2:8" x14ac:dyDescent="0.2">
      <c r="B346"/>
      <c r="C346"/>
      <c r="D346"/>
      <c r="E346"/>
      <c r="F346"/>
      <c r="G346"/>
      <c r="H346"/>
    </row>
    <row r="347" spans="2:8" x14ac:dyDescent="0.2">
      <c r="B347"/>
      <c r="C347"/>
      <c r="D347"/>
      <c r="E347"/>
      <c r="F347"/>
      <c r="G347"/>
      <c r="H347"/>
    </row>
    <row r="348" spans="2:8" x14ac:dyDescent="0.2">
      <c r="B348"/>
      <c r="C348"/>
      <c r="D348"/>
      <c r="E348"/>
      <c r="F348"/>
      <c r="G348"/>
      <c r="H348"/>
    </row>
    <row r="349" spans="2:8" x14ac:dyDescent="0.2">
      <c r="B349"/>
      <c r="C349"/>
      <c r="D349"/>
      <c r="E349"/>
      <c r="F349"/>
      <c r="G349"/>
      <c r="H349"/>
    </row>
    <row r="350" spans="2:8" x14ac:dyDescent="0.2">
      <c r="B350"/>
      <c r="C350"/>
      <c r="D350"/>
      <c r="E350"/>
      <c r="F350"/>
      <c r="G350"/>
      <c r="H350"/>
    </row>
    <row r="351" spans="2:8" x14ac:dyDescent="0.2">
      <c r="B351"/>
      <c r="C351"/>
      <c r="D351"/>
      <c r="E351"/>
      <c r="F351"/>
      <c r="G351"/>
      <c r="H351"/>
    </row>
    <row r="352" spans="2:8" x14ac:dyDescent="0.2">
      <c r="B352"/>
      <c r="C352"/>
      <c r="D352"/>
      <c r="E352"/>
      <c r="F352"/>
      <c r="G352"/>
      <c r="H352"/>
    </row>
    <row r="353" spans="2:8" x14ac:dyDescent="0.2">
      <c r="B353"/>
      <c r="C353"/>
      <c r="D353"/>
      <c r="E353"/>
      <c r="F353"/>
      <c r="G353"/>
      <c r="H353"/>
    </row>
    <row r="354" spans="2:8" x14ac:dyDescent="0.2">
      <c r="B354"/>
      <c r="C354"/>
      <c r="D354"/>
      <c r="E354"/>
      <c r="F354"/>
      <c r="G354"/>
      <c r="H354"/>
    </row>
    <row r="355" spans="2:8" x14ac:dyDescent="0.2">
      <c r="B355"/>
      <c r="C355"/>
      <c r="D355"/>
      <c r="E355"/>
      <c r="F355"/>
      <c r="G355"/>
      <c r="H355"/>
    </row>
    <row r="356" spans="2:8" x14ac:dyDescent="0.2">
      <c r="B356"/>
      <c r="C356"/>
      <c r="D356"/>
      <c r="E356"/>
      <c r="F356"/>
      <c r="G356"/>
      <c r="H356"/>
    </row>
    <row r="357" spans="2:8" x14ac:dyDescent="0.2">
      <c r="B357"/>
      <c r="C357"/>
      <c r="D357"/>
      <c r="E357"/>
      <c r="F357"/>
      <c r="G357"/>
      <c r="H357"/>
    </row>
    <row r="358" spans="2:8" x14ac:dyDescent="0.2">
      <c r="B358"/>
      <c r="C358"/>
      <c r="D358"/>
      <c r="E358"/>
      <c r="F358"/>
      <c r="G358"/>
      <c r="H358"/>
    </row>
    <row r="359" spans="2:8" x14ac:dyDescent="0.2">
      <c r="B359"/>
      <c r="C359"/>
      <c r="D359"/>
      <c r="E359"/>
      <c r="F359"/>
      <c r="G359"/>
      <c r="H359"/>
    </row>
    <row r="360" spans="2:8" x14ac:dyDescent="0.2">
      <c r="B360"/>
      <c r="C360"/>
      <c r="D360"/>
      <c r="E360"/>
      <c r="F360"/>
      <c r="G360"/>
      <c r="H360"/>
    </row>
    <row r="361" spans="2:8" x14ac:dyDescent="0.2">
      <c r="B361"/>
      <c r="C361"/>
      <c r="D361"/>
      <c r="E361"/>
      <c r="F361"/>
      <c r="G361"/>
      <c r="H361"/>
    </row>
    <row r="362" spans="2:8" x14ac:dyDescent="0.2">
      <c r="B362"/>
      <c r="C362"/>
      <c r="D362"/>
      <c r="E362"/>
      <c r="F362"/>
      <c r="G362"/>
      <c r="H362"/>
    </row>
    <row r="363" spans="2:8" x14ac:dyDescent="0.2">
      <c r="B363"/>
      <c r="C363"/>
      <c r="D363"/>
      <c r="E363"/>
      <c r="F363"/>
      <c r="G363"/>
      <c r="H363"/>
    </row>
    <row r="364" spans="2:8" x14ac:dyDescent="0.2">
      <c r="B364"/>
      <c r="C364"/>
      <c r="D364"/>
      <c r="E364"/>
      <c r="F364"/>
      <c r="G364"/>
      <c r="H364"/>
    </row>
    <row r="365" spans="2:8" x14ac:dyDescent="0.2">
      <c r="B365"/>
      <c r="C365"/>
      <c r="D365"/>
      <c r="E365"/>
      <c r="F365"/>
      <c r="G365"/>
      <c r="H365"/>
    </row>
    <row r="366" spans="2:8" x14ac:dyDescent="0.2">
      <c r="B366"/>
      <c r="C366"/>
      <c r="D366"/>
      <c r="E366"/>
      <c r="F366"/>
      <c r="G366"/>
      <c r="H366"/>
    </row>
    <row r="367" spans="2:8" x14ac:dyDescent="0.2">
      <c r="B367"/>
      <c r="C367"/>
      <c r="D367"/>
      <c r="E367"/>
      <c r="F367"/>
      <c r="G367"/>
      <c r="H367"/>
    </row>
    <row r="368" spans="2:8" x14ac:dyDescent="0.2">
      <c r="B368"/>
      <c r="C368"/>
      <c r="D368"/>
      <c r="E368"/>
      <c r="F368"/>
      <c r="G368"/>
      <c r="H368"/>
    </row>
    <row r="369" spans="2:8" x14ac:dyDescent="0.2">
      <c r="B369"/>
      <c r="C369"/>
      <c r="D369"/>
      <c r="E369"/>
      <c r="F369"/>
      <c r="G369"/>
      <c r="H369"/>
    </row>
    <row r="370" spans="2:8" x14ac:dyDescent="0.2">
      <c r="B370"/>
      <c r="C370"/>
      <c r="D370"/>
      <c r="E370"/>
      <c r="F370"/>
      <c r="G370"/>
      <c r="H370"/>
    </row>
    <row r="371" spans="2:8" x14ac:dyDescent="0.2">
      <c r="B371"/>
      <c r="C371"/>
      <c r="D371"/>
      <c r="E371"/>
      <c r="F371"/>
      <c r="G371"/>
      <c r="H371"/>
    </row>
    <row r="372" spans="2:8" x14ac:dyDescent="0.2">
      <c r="B372"/>
      <c r="C372"/>
      <c r="D372"/>
      <c r="E372"/>
      <c r="F372"/>
      <c r="G372"/>
      <c r="H372"/>
    </row>
    <row r="373" spans="2:8" x14ac:dyDescent="0.2">
      <c r="B373"/>
      <c r="C373"/>
      <c r="D373"/>
      <c r="E373"/>
      <c r="F373"/>
      <c r="G373"/>
      <c r="H373"/>
    </row>
    <row r="374" spans="2:8" x14ac:dyDescent="0.2">
      <c r="B374"/>
      <c r="C374"/>
      <c r="D374"/>
      <c r="E374"/>
      <c r="F374"/>
      <c r="G374"/>
      <c r="H374"/>
    </row>
    <row r="375" spans="2:8" x14ac:dyDescent="0.2">
      <c r="B375"/>
      <c r="C375"/>
      <c r="D375"/>
      <c r="E375"/>
      <c r="F375"/>
      <c r="G375"/>
      <c r="H375"/>
    </row>
    <row r="376" spans="2:8" x14ac:dyDescent="0.2">
      <c r="B376"/>
      <c r="C376"/>
      <c r="D376"/>
      <c r="E376"/>
      <c r="F376"/>
      <c r="G376"/>
      <c r="H376"/>
    </row>
    <row r="377" spans="2:8" x14ac:dyDescent="0.2">
      <c r="B377"/>
      <c r="C377"/>
      <c r="D377"/>
      <c r="E377"/>
      <c r="F377"/>
      <c r="G377"/>
      <c r="H377"/>
    </row>
    <row r="378" spans="2:8" x14ac:dyDescent="0.2">
      <c r="B378"/>
      <c r="C378"/>
      <c r="D378"/>
      <c r="E378"/>
      <c r="F378"/>
      <c r="G378"/>
      <c r="H378"/>
    </row>
    <row r="379" spans="2:8" x14ac:dyDescent="0.2">
      <c r="B379"/>
      <c r="C379"/>
      <c r="D379"/>
      <c r="E379"/>
      <c r="F379"/>
      <c r="G379"/>
      <c r="H379"/>
    </row>
    <row r="380" spans="2:8" x14ac:dyDescent="0.2">
      <c r="B380"/>
      <c r="C380"/>
      <c r="D380"/>
      <c r="E380"/>
      <c r="F380"/>
      <c r="G380"/>
      <c r="H380"/>
    </row>
    <row r="381" spans="2:8" x14ac:dyDescent="0.2">
      <c r="B381"/>
      <c r="C381"/>
      <c r="D381"/>
      <c r="E381"/>
      <c r="F381"/>
      <c r="G381"/>
      <c r="H381"/>
    </row>
    <row r="382" spans="2:8" x14ac:dyDescent="0.2">
      <c r="B382"/>
      <c r="C382"/>
      <c r="D382"/>
      <c r="E382"/>
      <c r="F382"/>
      <c r="G382"/>
      <c r="H382"/>
    </row>
    <row r="383" spans="2:8" x14ac:dyDescent="0.2">
      <c r="B383"/>
      <c r="C383"/>
      <c r="D383"/>
      <c r="E383"/>
      <c r="F383"/>
      <c r="G383"/>
      <c r="H383"/>
    </row>
    <row r="384" spans="2:8" x14ac:dyDescent="0.2">
      <c r="B384"/>
      <c r="C384"/>
      <c r="D384"/>
      <c r="E384"/>
      <c r="F384"/>
      <c r="G384"/>
      <c r="H384"/>
    </row>
    <row r="385" spans="2:8" x14ac:dyDescent="0.2">
      <c r="B385"/>
      <c r="C385"/>
      <c r="D385"/>
      <c r="E385"/>
      <c r="F385"/>
      <c r="G385"/>
      <c r="H385"/>
    </row>
    <row r="386" spans="2:8" x14ac:dyDescent="0.2">
      <c r="B386"/>
      <c r="C386"/>
      <c r="D386"/>
      <c r="E386"/>
      <c r="F386"/>
      <c r="G386"/>
      <c r="H386"/>
    </row>
    <row r="387" spans="2:8" x14ac:dyDescent="0.2">
      <c r="B387"/>
      <c r="C387"/>
      <c r="D387"/>
      <c r="E387"/>
      <c r="F387"/>
      <c r="G387"/>
      <c r="H387"/>
    </row>
    <row r="388" spans="2:8" x14ac:dyDescent="0.2">
      <c r="B388"/>
      <c r="C388"/>
      <c r="D388"/>
      <c r="E388"/>
      <c r="F388"/>
      <c r="G388"/>
      <c r="H388"/>
    </row>
    <row r="389" spans="2:8" x14ac:dyDescent="0.2">
      <c r="B389"/>
      <c r="C389"/>
      <c r="D389"/>
      <c r="E389"/>
      <c r="F389"/>
      <c r="G389"/>
      <c r="H389"/>
    </row>
    <row r="390" spans="2:8" x14ac:dyDescent="0.2">
      <c r="B390"/>
      <c r="C390"/>
      <c r="D390"/>
      <c r="E390"/>
      <c r="F390"/>
      <c r="G390"/>
      <c r="H390"/>
    </row>
    <row r="391" spans="2:8" x14ac:dyDescent="0.2">
      <c r="B391"/>
      <c r="C391"/>
      <c r="D391"/>
      <c r="E391"/>
      <c r="F391"/>
      <c r="G391"/>
      <c r="H391"/>
    </row>
    <row r="392" spans="2:8" x14ac:dyDescent="0.2">
      <c r="B392"/>
      <c r="C392"/>
      <c r="D392"/>
      <c r="E392"/>
      <c r="F392"/>
      <c r="G392"/>
      <c r="H392"/>
    </row>
    <row r="393" spans="2:8" x14ac:dyDescent="0.2">
      <c r="B393"/>
      <c r="C393"/>
      <c r="D393"/>
      <c r="E393"/>
      <c r="F393"/>
      <c r="G393"/>
      <c r="H393"/>
    </row>
    <row r="394" spans="2:8" x14ac:dyDescent="0.2">
      <c r="B394"/>
      <c r="C394"/>
      <c r="D394"/>
      <c r="E394"/>
      <c r="F394"/>
      <c r="G394"/>
      <c r="H394"/>
    </row>
    <row r="395" spans="2:8" x14ac:dyDescent="0.2">
      <c r="B395"/>
      <c r="C395"/>
      <c r="D395"/>
      <c r="E395"/>
      <c r="F395"/>
      <c r="G395"/>
      <c r="H395"/>
    </row>
    <row r="396" spans="2:8" x14ac:dyDescent="0.2">
      <c r="B396"/>
      <c r="C396"/>
      <c r="D396"/>
      <c r="E396"/>
      <c r="F396"/>
      <c r="G396"/>
      <c r="H396"/>
    </row>
    <row r="397" spans="2:8" x14ac:dyDescent="0.2">
      <c r="B397"/>
      <c r="C397"/>
      <c r="D397"/>
      <c r="E397"/>
      <c r="F397"/>
      <c r="G397"/>
      <c r="H397"/>
    </row>
    <row r="398" spans="2:8" x14ac:dyDescent="0.2">
      <c r="B398"/>
      <c r="C398"/>
      <c r="D398"/>
      <c r="E398"/>
      <c r="F398"/>
      <c r="G398"/>
      <c r="H398"/>
    </row>
    <row r="399" spans="2:8" x14ac:dyDescent="0.2">
      <c r="B399"/>
      <c r="C399"/>
      <c r="D399"/>
      <c r="E399"/>
      <c r="F399"/>
      <c r="G399"/>
      <c r="H399"/>
    </row>
    <row r="400" spans="2:8" x14ac:dyDescent="0.2">
      <c r="B400"/>
      <c r="C400"/>
      <c r="D400"/>
      <c r="E400"/>
      <c r="F400"/>
      <c r="G400"/>
      <c r="H400"/>
    </row>
    <row r="401" spans="2:8" x14ac:dyDescent="0.2">
      <c r="B401"/>
      <c r="C401"/>
      <c r="D401"/>
      <c r="E401"/>
      <c r="F401"/>
      <c r="G401"/>
      <c r="H401"/>
    </row>
    <row r="402" spans="2:8" x14ac:dyDescent="0.2">
      <c r="B402"/>
      <c r="C402"/>
      <c r="D402"/>
      <c r="E402"/>
      <c r="F402"/>
      <c r="G402"/>
      <c r="H402"/>
    </row>
    <row r="403" spans="2:8" x14ac:dyDescent="0.2">
      <c r="B403"/>
      <c r="C403"/>
      <c r="D403"/>
      <c r="E403"/>
      <c r="F403"/>
      <c r="G403"/>
      <c r="H403"/>
    </row>
    <row r="404" spans="2:8" x14ac:dyDescent="0.2">
      <c r="B404"/>
      <c r="C404"/>
      <c r="D404"/>
      <c r="E404"/>
      <c r="F404"/>
      <c r="G404"/>
      <c r="H404"/>
    </row>
    <row r="405" spans="2:8" x14ac:dyDescent="0.2">
      <c r="B405"/>
      <c r="C405"/>
      <c r="D405"/>
      <c r="E405"/>
      <c r="F405"/>
      <c r="G405"/>
      <c r="H405"/>
    </row>
    <row r="406" spans="2:8" x14ac:dyDescent="0.2">
      <c r="B406"/>
      <c r="C406"/>
      <c r="D406"/>
      <c r="E406"/>
      <c r="F406"/>
      <c r="G406"/>
      <c r="H406"/>
    </row>
    <row r="407" spans="2:8" x14ac:dyDescent="0.2">
      <c r="B407"/>
      <c r="C407"/>
      <c r="D407"/>
      <c r="E407"/>
      <c r="F407"/>
      <c r="G407"/>
      <c r="H407"/>
    </row>
    <row r="408" spans="2:8" x14ac:dyDescent="0.2">
      <c r="B408"/>
      <c r="C408"/>
      <c r="D408"/>
      <c r="E408"/>
      <c r="F408"/>
      <c r="G408"/>
      <c r="H408"/>
    </row>
    <row r="409" spans="2:8" x14ac:dyDescent="0.2">
      <c r="B409"/>
      <c r="C409"/>
      <c r="D409"/>
      <c r="E409"/>
      <c r="F409"/>
      <c r="G409"/>
      <c r="H409"/>
    </row>
    <row r="410" spans="2:8" x14ac:dyDescent="0.2">
      <c r="B410"/>
      <c r="C410"/>
      <c r="D410"/>
      <c r="E410"/>
      <c r="F410"/>
      <c r="G410"/>
      <c r="H410"/>
    </row>
    <row r="411" spans="2:8" x14ac:dyDescent="0.2">
      <c r="B411"/>
      <c r="C411"/>
      <c r="D411"/>
      <c r="E411"/>
      <c r="F411"/>
      <c r="G411"/>
      <c r="H411"/>
    </row>
    <row r="412" spans="2:8" x14ac:dyDescent="0.2">
      <c r="B412"/>
      <c r="C412"/>
      <c r="D412"/>
      <c r="E412"/>
      <c r="F412"/>
      <c r="G412"/>
      <c r="H412"/>
    </row>
    <row r="413" spans="2:8" x14ac:dyDescent="0.2">
      <c r="B413"/>
      <c r="C413"/>
      <c r="D413"/>
      <c r="E413"/>
      <c r="F413"/>
      <c r="G413"/>
      <c r="H413"/>
    </row>
    <row r="414" spans="2:8" x14ac:dyDescent="0.2">
      <c r="B414"/>
      <c r="C414"/>
      <c r="D414"/>
      <c r="E414"/>
      <c r="F414"/>
      <c r="G414"/>
      <c r="H414"/>
    </row>
    <row r="415" spans="2:8" x14ac:dyDescent="0.2">
      <c r="B415"/>
      <c r="C415"/>
      <c r="D415"/>
      <c r="E415"/>
      <c r="F415"/>
      <c r="G415"/>
      <c r="H415"/>
    </row>
    <row r="416" spans="2:8" x14ac:dyDescent="0.2">
      <c r="B416"/>
      <c r="C416"/>
      <c r="D416"/>
      <c r="E416"/>
      <c r="F416"/>
      <c r="G416"/>
      <c r="H416"/>
    </row>
    <row r="417" spans="2:8" x14ac:dyDescent="0.2">
      <c r="B417"/>
      <c r="C417"/>
      <c r="D417"/>
      <c r="E417"/>
      <c r="F417"/>
      <c r="G417"/>
      <c r="H417"/>
    </row>
    <row r="418" spans="2:8" x14ac:dyDescent="0.2">
      <c r="B418"/>
      <c r="C418"/>
      <c r="D418"/>
      <c r="E418"/>
      <c r="F418"/>
      <c r="G418"/>
      <c r="H418"/>
    </row>
    <row r="419" spans="2:8" x14ac:dyDescent="0.2">
      <c r="B419"/>
      <c r="C419"/>
      <c r="D419"/>
      <c r="E419"/>
      <c r="F419"/>
      <c r="G419"/>
      <c r="H419"/>
    </row>
    <row r="420" spans="2:8" x14ac:dyDescent="0.2">
      <c r="B420"/>
      <c r="C420"/>
      <c r="D420"/>
      <c r="E420"/>
      <c r="F420"/>
      <c r="G420"/>
      <c r="H420"/>
    </row>
    <row r="421" spans="2:8" x14ac:dyDescent="0.2">
      <c r="B421"/>
      <c r="C421"/>
      <c r="D421"/>
      <c r="E421"/>
      <c r="F421"/>
      <c r="G421"/>
      <c r="H421"/>
    </row>
    <row r="422" spans="2:8" x14ac:dyDescent="0.2">
      <c r="B422"/>
      <c r="C422"/>
      <c r="D422"/>
      <c r="E422"/>
      <c r="F422"/>
      <c r="G422"/>
      <c r="H422"/>
    </row>
    <row r="423" spans="2:8" x14ac:dyDescent="0.2">
      <c r="B423"/>
      <c r="C423"/>
      <c r="D423"/>
      <c r="E423"/>
      <c r="F423"/>
      <c r="G423"/>
      <c r="H423"/>
    </row>
    <row r="424" spans="2:8" x14ac:dyDescent="0.2">
      <c r="B424"/>
      <c r="C424"/>
      <c r="D424"/>
      <c r="E424"/>
      <c r="F424"/>
      <c r="G424"/>
      <c r="H424"/>
    </row>
    <row r="425" spans="2:8" x14ac:dyDescent="0.2">
      <c r="B425"/>
      <c r="C425"/>
      <c r="D425"/>
      <c r="E425"/>
      <c r="F425"/>
      <c r="G425"/>
      <c r="H425"/>
    </row>
    <row r="426" spans="2:8" x14ac:dyDescent="0.2">
      <c r="B426"/>
      <c r="C426"/>
      <c r="D426"/>
      <c r="E426"/>
      <c r="F426"/>
      <c r="G426"/>
      <c r="H426"/>
    </row>
    <row r="427" spans="2:8" x14ac:dyDescent="0.2">
      <c r="B427"/>
      <c r="C427"/>
      <c r="D427"/>
      <c r="E427"/>
      <c r="F427"/>
      <c r="G427"/>
      <c r="H427"/>
    </row>
    <row r="428" spans="2:8" x14ac:dyDescent="0.2">
      <c r="B428"/>
      <c r="C428"/>
      <c r="D428"/>
      <c r="E428"/>
      <c r="F428"/>
      <c r="G428"/>
      <c r="H428"/>
    </row>
    <row r="429" spans="2:8" x14ac:dyDescent="0.2">
      <c r="B429"/>
      <c r="C429"/>
      <c r="D429"/>
      <c r="E429"/>
      <c r="F429"/>
      <c r="G429"/>
      <c r="H429"/>
    </row>
    <row r="430" spans="2:8" x14ac:dyDescent="0.2">
      <c r="B430"/>
      <c r="C430"/>
      <c r="D430"/>
      <c r="E430"/>
      <c r="F430"/>
      <c r="G430"/>
      <c r="H430"/>
    </row>
    <row r="431" spans="2:8" x14ac:dyDescent="0.2">
      <c r="B431"/>
      <c r="C431"/>
      <c r="D431"/>
      <c r="E431"/>
      <c r="F431"/>
      <c r="G431"/>
      <c r="H431"/>
    </row>
    <row r="432" spans="2:8" x14ac:dyDescent="0.2">
      <c r="B432"/>
      <c r="C432"/>
      <c r="D432"/>
      <c r="E432"/>
      <c r="F432"/>
      <c r="G432"/>
      <c r="H432"/>
    </row>
    <row r="433" spans="2:8" x14ac:dyDescent="0.2">
      <c r="B433"/>
      <c r="C433"/>
      <c r="D433"/>
      <c r="E433"/>
      <c r="F433"/>
      <c r="G433"/>
      <c r="H433"/>
    </row>
    <row r="434" spans="2:8" x14ac:dyDescent="0.2">
      <c r="B434"/>
      <c r="C434"/>
      <c r="D434"/>
      <c r="E434"/>
      <c r="F434"/>
      <c r="G434"/>
      <c r="H434"/>
    </row>
    <row r="435" spans="2:8" x14ac:dyDescent="0.2">
      <c r="B435"/>
      <c r="C435"/>
      <c r="D435"/>
      <c r="E435"/>
      <c r="F435"/>
      <c r="G435"/>
      <c r="H435"/>
    </row>
    <row r="436" spans="2:8" x14ac:dyDescent="0.2">
      <c r="B436"/>
      <c r="C436"/>
      <c r="D436"/>
      <c r="E436"/>
      <c r="F436"/>
      <c r="G436"/>
      <c r="H436"/>
    </row>
    <row r="437" spans="2:8" x14ac:dyDescent="0.2">
      <c r="B437"/>
      <c r="C437"/>
      <c r="D437"/>
      <c r="E437"/>
      <c r="F437"/>
      <c r="G437"/>
      <c r="H437"/>
    </row>
    <row r="438" spans="2:8" x14ac:dyDescent="0.2">
      <c r="B438"/>
      <c r="C438"/>
      <c r="D438"/>
      <c r="E438"/>
      <c r="F438"/>
      <c r="G438"/>
      <c r="H438"/>
    </row>
    <row r="439" spans="2:8" x14ac:dyDescent="0.2">
      <c r="B439"/>
      <c r="C439"/>
      <c r="D439"/>
      <c r="E439"/>
      <c r="F439"/>
      <c r="G439"/>
      <c r="H439"/>
    </row>
    <row r="440" spans="2:8" x14ac:dyDescent="0.2">
      <c r="B440"/>
      <c r="C440"/>
      <c r="D440"/>
      <c r="E440"/>
      <c r="F440"/>
      <c r="G440"/>
      <c r="H440"/>
    </row>
    <row r="441" spans="2:8" x14ac:dyDescent="0.2">
      <c r="B441"/>
      <c r="C441"/>
      <c r="D441"/>
      <c r="E441"/>
      <c r="F441"/>
      <c r="G441"/>
      <c r="H441"/>
    </row>
    <row r="442" spans="2:8" x14ac:dyDescent="0.2">
      <c r="B442"/>
      <c r="C442"/>
      <c r="D442"/>
      <c r="E442"/>
      <c r="F442"/>
      <c r="G442"/>
      <c r="H442"/>
    </row>
    <row r="443" spans="2:8" x14ac:dyDescent="0.2">
      <c r="B443"/>
      <c r="C443"/>
      <c r="D443"/>
      <c r="E443"/>
      <c r="F443"/>
      <c r="G443"/>
      <c r="H443"/>
    </row>
    <row r="444" spans="2:8" x14ac:dyDescent="0.2">
      <c r="B444"/>
      <c r="C444"/>
      <c r="D444"/>
      <c r="E444"/>
      <c r="F444"/>
      <c r="G444"/>
      <c r="H444"/>
    </row>
    <row r="445" spans="2:8" x14ac:dyDescent="0.2">
      <c r="B445"/>
      <c r="C445"/>
      <c r="D445"/>
      <c r="E445"/>
      <c r="F445"/>
      <c r="G445"/>
      <c r="H445"/>
    </row>
    <row r="446" spans="2:8" x14ac:dyDescent="0.2">
      <c r="B446"/>
      <c r="C446"/>
      <c r="D446"/>
      <c r="E446"/>
      <c r="F446"/>
      <c r="G446"/>
      <c r="H446"/>
    </row>
    <row r="447" spans="2:8" x14ac:dyDescent="0.2">
      <c r="B447"/>
      <c r="C447"/>
      <c r="D447"/>
      <c r="E447"/>
      <c r="F447"/>
      <c r="G447"/>
      <c r="H447"/>
    </row>
    <row r="448" spans="2:8" x14ac:dyDescent="0.2">
      <c r="B448"/>
      <c r="C448"/>
      <c r="D448"/>
      <c r="E448"/>
      <c r="F448"/>
      <c r="G448"/>
      <c r="H448"/>
    </row>
    <row r="449" spans="2:8" x14ac:dyDescent="0.2">
      <c r="B449"/>
      <c r="C449"/>
      <c r="D449"/>
      <c r="E449"/>
      <c r="F449"/>
      <c r="G449"/>
      <c r="H449"/>
    </row>
    <row r="450" spans="2:8" x14ac:dyDescent="0.2">
      <c r="B450"/>
      <c r="C450"/>
      <c r="D450"/>
      <c r="E450"/>
      <c r="F450"/>
      <c r="G450"/>
      <c r="H450"/>
    </row>
    <row r="451" spans="2:8" x14ac:dyDescent="0.2">
      <c r="B451"/>
      <c r="C451"/>
      <c r="D451"/>
      <c r="E451"/>
      <c r="F451"/>
      <c r="G451"/>
      <c r="H451"/>
    </row>
    <row r="452" spans="2:8" x14ac:dyDescent="0.2">
      <c r="B452"/>
      <c r="C452"/>
      <c r="D452"/>
      <c r="E452"/>
      <c r="F452"/>
      <c r="G452"/>
      <c r="H452"/>
    </row>
    <row r="453" spans="2:8" x14ac:dyDescent="0.2">
      <c r="B453"/>
      <c r="C453"/>
      <c r="D453"/>
      <c r="E453"/>
      <c r="F453"/>
      <c r="G453"/>
      <c r="H453"/>
    </row>
    <row r="454" spans="2:8" x14ac:dyDescent="0.2">
      <c r="B454"/>
      <c r="C454"/>
      <c r="D454"/>
      <c r="E454"/>
      <c r="F454"/>
      <c r="G454"/>
      <c r="H454"/>
    </row>
    <row r="455" spans="2:8" x14ac:dyDescent="0.2">
      <c r="B455"/>
      <c r="C455"/>
      <c r="D455"/>
      <c r="E455"/>
      <c r="F455"/>
      <c r="G455"/>
      <c r="H455"/>
    </row>
    <row r="456" spans="2:8" x14ac:dyDescent="0.2">
      <c r="B456"/>
      <c r="C456"/>
      <c r="D456"/>
      <c r="E456"/>
      <c r="F456"/>
      <c r="G456"/>
      <c r="H456"/>
    </row>
    <row r="457" spans="2:8" x14ac:dyDescent="0.2">
      <c r="B457"/>
      <c r="C457"/>
      <c r="D457"/>
      <c r="E457"/>
      <c r="F457"/>
      <c r="G457"/>
      <c r="H457"/>
    </row>
    <row r="458" spans="2:8" x14ac:dyDescent="0.2">
      <c r="B458"/>
      <c r="C458"/>
      <c r="D458"/>
      <c r="E458"/>
      <c r="F458"/>
      <c r="G458"/>
      <c r="H458"/>
    </row>
    <row r="459" spans="2:8" x14ac:dyDescent="0.2">
      <c r="B459"/>
      <c r="C459"/>
      <c r="D459"/>
      <c r="E459"/>
      <c r="F459"/>
      <c r="G459"/>
      <c r="H459"/>
    </row>
    <row r="460" spans="2:8" x14ac:dyDescent="0.2">
      <c r="B460"/>
      <c r="C460"/>
      <c r="D460"/>
      <c r="E460"/>
      <c r="F460"/>
      <c r="G460"/>
      <c r="H460"/>
    </row>
    <row r="461" spans="2:8" x14ac:dyDescent="0.2">
      <c r="B461"/>
      <c r="C461"/>
      <c r="D461"/>
      <c r="E461"/>
      <c r="F461"/>
      <c r="G461"/>
      <c r="H461"/>
    </row>
    <row r="462" spans="2:8" ht="14.25" customHeight="1" x14ac:dyDescent="0.2">
      <c r="B462"/>
      <c r="C462"/>
      <c r="D462"/>
      <c r="E462"/>
      <c r="F462"/>
      <c r="G462"/>
      <c r="H462"/>
    </row>
    <row r="463" spans="2:8" x14ac:dyDescent="0.2">
      <c r="B463"/>
      <c r="C463"/>
      <c r="D463"/>
      <c r="E463"/>
      <c r="F463"/>
      <c r="G463"/>
      <c r="H463"/>
    </row>
    <row r="464" spans="2:8" x14ac:dyDescent="0.2">
      <c r="B464"/>
      <c r="C464"/>
      <c r="D464"/>
      <c r="E464"/>
      <c r="F464"/>
      <c r="G464"/>
      <c r="H464"/>
    </row>
    <row r="465" spans="2:8" x14ac:dyDescent="0.2">
      <c r="B465"/>
      <c r="C465"/>
      <c r="D465"/>
      <c r="E465"/>
      <c r="F465"/>
      <c r="G465"/>
      <c r="H465"/>
    </row>
    <row r="466" spans="2:8" x14ac:dyDescent="0.2">
      <c r="B466"/>
      <c r="C466"/>
      <c r="D466"/>
      <c r="E466"/>
      <c r="F466"/>
      <c r="G466"/>
      <c r="H466"/>
    </row>
    <row r="467" spans="2:8" x14ac:dyDescent="0.2">
      <c r="B467"/>
      <c r="C467"/>
      <c r="D467"/>
      <c r="E467"/>
      <c r="F467"/>
      <c r="G467"/>
      <c r="H467"/>
    </row>
    <row r="468" spans="2:8" x14ac:dyDescent="0.2">
      <c r="B468"/>
      <c r="C468"/>
      <c r="D468"/>
      <c r="E468"/>
      <c r="F468"/>
      <c r="G468"/>
      <c r="H468"/>
    </row>
    <row r="469" spans="2:8" x14ac:dyDescent="0.2">
      <c r="B469"/>
      <c r="C469"/>
      <c r="D469"/>
      <c r="E469"/>
      <c r="F469"/>
      <c r="G469"/>
      <c r="H469"/>
    </row>
    <row r="470" spans="2:8" x14ac:dyDescent="0.2">
      <c r="B470"/>
      <c r="C470"/>
      <c r="D470"/>
      <c r="E470"/>
      <c r="F470"/>
      <c r="G470"/>
      <c r="H470"/>
    </row>
    <row r="471" spans="2:8" x14ac:dyDescent="0.2">
      <c r="B471"/>
      <c r="C471"/>
      <c r="D471"/>
      <c r="E471"/>
      <c r="F471"/>
      <c r="G471"/>
      <c r="H471"/>
    </row>
    <row r="472" spans="2:8" ht="16.5" customHeight="1" x14ac:dyDescent="0.2">
      <c r="B472"/>
      <c r="C472"/>
      <c r="D472"/>
      <c r="E472"/>
      <c r="F472"/>
      <c r="G472"/>
      <c r="H472"/>
    </row>
    <row r="473" spans="2:8" ht="16.5" customHeight="1" x14ac:dyDescent="0.2">
      <c r="B473"/>
      <c r="C473"/>
      <c r="D473"/>
      <c r="E473"/>
      <c r="F473"/>
      <c r="G473"/>
      <c r="H473"/>
    </row>
    <row r="474" spans="2:8" ht="16.5" customHeight="1" x14ac:dyDescent="0.2">
      <c r="B474"/>
      <c r="C474"/>
      <c r="D474"/>
      <c r="E474"/>
      <c r="F474"/>
      <c r="G474"/>
      <c r="H474"/>
    </row>
    <row r="475" spans="2:8" ht="16.5" customHeight="1" x14ac:dyDescent="0.2">
      <c r="B475"/>
      <c r="C475"/>
      <c r="D475"/>
      <c r="E475"/>
      <c r="F475"/>
      <c r="G475"/>
      <c r="H475"/>
    </row>
    <row r="476" spans="2:8" ht="16.5" customHeight="1" x14ac:dyDescent="0.2">
      <c r="B476"/>
      <c r="C476"/>
      <c r="D476"/>
      <c r="E476"/>
      <c r="F476"/>
      <c r="G476"/>
      <c r="H476"/>
    </row>
    <row r="477" spans="2:8" ht="16.5" customHeight="1" x14ac:dyDescent="0.2">
      <c r="B477"/>
      <c r="C477"/>
      <c r="D477"/>
      <c r="E477"/>
      <c r="F477"/>
      <c r="G477"/>
      <c r="H477"/>
    </row>
    <row r="478" spans="2:8" ht="16.5" customHeight="1" x14ac:dyDescent="0.2">
      <c r="B478"/>
      <c r="C478"/>
      <c r="D478"/>
      <c r="E478"/>
      <c r="F478"/>
      <c r="G478"/>
      <c r="H478"/>
    </row>
    <row r="479" spans="2:8" ht="16.5" customHeight="1" x14ac:dyDescent="0.2">
      <c r="B479"/>
      <c r="C479"/>
      <c r="D479"/>
      <c r="E479"/>
      <c r="F479"/>
      <c r="G479"/>
      <c r="H479"/>
    </row>
    <row r="480" spans="2:8" ht="16.5" customHeight="1" x14ac:dyDescent="0.2">
      <c r="B480"/>
      <c r="C480"/>
      <c r="D480"/>
      <c r="E480"/>
      <c r="F480"/>
      <c r="G480"/>
      <c r="H480"/>
    </row>
    <row r="481" spans="2:8" ht="16.5" customHeight="1" x14ac:dyDescent="0.2">
      <c r="B481"/>
      <c r="C481"/>
      <c r="D481"/>
      <c r="E481"/>
      <c r="F481"/>
      <c r="G481"/>
      <c r="H481"/>
    </row>
    <row r="482" spans="2:8" ht="16.5" customHeight="1" x14ac:dyDescent="0.2">
      <c r="B482"/>
      <c r="C482"/>
      <c r="D482"/>
      <c r="E482"/>
      <c r="F482"/>
      <c r="G482"/>
      <c r="H482"/>
    </row>
    <row r="483" spans="2:8" ht="16.5" customHeight="1" x14ac:dyDescent="0.2">
      <c r="B483"/>
      <c r="C483"/>
      <c r="D483"/>
      <c r="E483"/>
      <c r="F483"/>
      <c r="G483"/>
      <c r="H483"/>
    </row>
    <row r="484" spans="2:8" ht="16.5" customHeight="1" x14ac:dyDescent="0.2">
      <c r="B484"/>
      <c r="C484"/>
      <c r="D484"/>
      <c r="E484"/>
      <c r="F484"/>
      <c r="G484"/>
      <c r="H484"/>
    </row>
    <row r="485" spans="2:8" ht="16.5" customHeight="1" x14ac:dyDescent="0.2">
      <c r="B485"/>
      <c r="C485"/>
      <c r="D485"/>
      <c r="E485"/>
      <c r="F485"/>
      <c r="G485"/>
      <c r="H485"/>
    </row>
    <row r="486" spans="2:8" ht="16.5" customHeight="1" x14ac:dyDescent="0.2">
      <c r="B486"/>
      <c r="C486"/>
      <c r="D486"/>
      <c r="E486"/>
      <c r="F486"/>
      <c r="G486"/>
      <c r="H486"/>
    </row>
    <row r="487" spans="2:8" ht="16.5" customHeight="1" x14ac:dyDescent="0.2">
      <c r="B487"/>
      <c r="C487"/>
      <c r="D487"/>
      <c r="E487"/>
      <c r="F487"/>
      <c r="G487"/>
      <c r="H487"/>
    </row>
    <row r="488" spans="2:8" ht="16.5" customHeight="1" x14ac:dyDescent="0.2">
      <c r="B488"/>
      <c r="C488"/>
      <c r="D488"/>
      <c r="E488"/>
      <c r="F488"/>
      <c r="G488"/>
      <c r="H488"/>
    </row>
    <row r="489" spans="2:8" ht="16.5" customHeight="1" x14ac:dyDescent="0.2">
      <c r="B489"/>
      <c r="C489"/>
      <c r="D489"/>
      <c r="E489"/>
      <c r="F489"/>
      <c r="G489"/>
      <c r="H489"/>
    </row>
    <row r="490" spans="2:8" ht="16.5" customHeight="1" x14ac:dyDescent="0.2">
      <c r="B490"/>
      <c r="C490"/>
      <c r="D490"/>
      <c r="E490"/>
      <c r="F490"/>
      <c r="G490"/>
      <c r="H490"/>
    </row>
    <row r="491" spans="2:8" ht="16.5" customHeight="1" x14ac:dyDescent="0.2">
      <c r="B491"/>
      <c r="C491"/>
      <c r="D491"/>
      <c r="E491"/>
      <c r="F491"/>
      <c r="G491"/>
      <c r="H491"/>
    </row>
    <row r="492" spans="2:8" ht="16.5" customHeight="1" x14ac:dyDescent="0.2">
      <c r="B492"/>
      <c r="C492"/>
      <c r="D492"/>
      <c r="E492"/>
      <c r="F492"/>
      <c r="G492"/>
      <c r="H492"/>
    </row>
    <row r="493" spans="2:8" ht="16.5" customHeight="1" x14ac:dyDescent="0.2">
      <c r="B493"/>
      <c r="C493"/>
      <c r="D493"/>
      <c r="E493"/>
      <c r="F493"/>
      <c r="G493"/>
      <c r="H493"/>
    </row>
    <row r="494" spans="2:8" ht="16.5" customHeight="1" x14ac:dyDescent="0.2">
      <c r="B494"/>
      <c r="C494"/>
      <c r="D494"/>
      <c r="E494"/>
      <c r="F494"/>
      <c r="G494"/>
      <c r="H494"/>
    </row>
    <row r="495" spans="2:8" ht="16.5" customHeight="1" x14ac:dyDescent="0.2">
      <c r="B495"/>
      <c r="C495"/>
      <c r="D495"/>
      <c r="E495"/>
      <c r="F495"/>
      <c r="G495"/>
      <c r="H495"/>
    </row>
    <row r="496" spans="2:8" ht="16.5" customHeight="1" x14ac:dyDescent="0.2">
      <c r="B496"/>
      <c r="C496"/>
      <c r="D496"/>
      <c r="E496"/>
      <c r="F496"/>
      <c r="G496"/>
      <c r="H496"/>
    </row>
    <row r="497" spans="2:8" ht="16.5" customHeight="1" x14ac:dyDescent="0.2">
      <c r="B497"/>
      <c r="C497"/>
      <c r="D497"/>
      <c r="E497"/>
      <c r="F497"/>
      <c r="G497"/>
      <c r="H497"/>
    </row>
    <row r="498" spans="2:8" ht="16.5" customHeight="1" x14ac:dyDescent="0.2">
      <c r="B498"/>
      <c r="C498"/>
      <c r="D498"/>
      <c r="E498"/>
      <c r="F498"/>
      <c r="G498"/>
      <c r="H498"/>
    </row>
    <row r="499" spans="2:8" ht="16.5" customHeight="1" x14ac:dyDescent="0.2">
      <c r="B499"/>
      <c r="C499"/>
      <c r="D499"/>
      <c r="E499"/>
      <c r="F499"/>
      <c r="G499"/>
      <c r="H499"/>
    </row>
    <row r="500" spans="2:8" ht="16.5" customHeight="1" x14ac:dyDescent="0.2">
      <c r="B500"/>
      <c r="C500"/>
      <c r="D500"/>
      <c r="E500"/>
      <c r="F500"/>
      <c r="G500"/>
      <c r="H500"/>
    </row>
    <row r="501" spans="2:8" ht="16.5" customHeight="1" x14ac:dyDescent="0.2">
      <c r="B501"/>
      <c r="C501"/>
      <c r="D501"/>
      <c r="E501"/>
      <c r="F501"/>
      <c r="G501"/>
      <c r="H501"/>
    </row>
    <row r="502" spans="2:8" ht="16.5" customHeight="1" x14ac:dyDescent="0.2">
      <c r="B502"/>
      <c r="C502"/>
      <c r="D502"/>
      <c r="E502"/>
      <c r="F502"/>
      <c r="G502"/>
      <c r="H502"/>
    </row>
    <row r="503" spans="2:8" ht="16.5" customHeight="1" x14ac:dyDescent="0.2">
      <c r="B503"/>
      <c r="C503"/>
      <c r="D503"/>
      <c r="E503"/>
      <c r="F503"/>
      <c r="G503"/>
      <c r="H503"/>
    </row>
    <row r="504" spans="2:8" ht="16.5" customHeight="1" x14ac:dyDescent="0.2">
      <c r="B504"/>
      <c r="C504"/>
      <c r="D504"/>
      <c r="E504"/>
      <c r="F504"/>
      <c r="G504"/>
      <c r="H504"/>
    </row>
    <row r="505" spans="2:8" ht="16.5" customHeight="1" x14ac:dyDescent="0.2">
      <c r="B505"/>
      <c r="C505"/>
      <c r="D505"/>
      <c r="E505"/>
      <c r="F505"/>
      <c r="G505"/>
      <c r="H505"/>
    </row>
    <row r="506" spans="2:8" ht="16.5" customHeight="1" x14ac:dyDescent="0.2">
      <c r="B506"/>
      <c r="C506"/>
      <c r="D506"/>
      <c r="E506"/>
      <c r="F506"/>
      <c r="G506"/>
      <c r="H506"/>
    </row>
    <row r="507" spans="2:8" ht="16.5" customHeight="1" x14ac:dyDescent="0.2">
      <c r="B507"/>
      <c r="C507"/>
      <c r="D507"/>
      <c r="E507"/>
      <c r="F507"/>
      <c r="G507"/>
      <c r="H507"/>
    </row>
    <row r="508" spans="2:8" ht="16.5" customHeight="1" x14ac:dyDescent="0.2">
      <c r="B508"/>
      <c r="C508"/>
      <c r="D508"/>
      <c r="E508"/>
      <c r="F508"/>
      <c r="G508"/>
      <c r="H508"/>
    </row>
    <row r="509" spans="2:8" ht="16.5" customHeight="1" x14ac:dyDescent="0.2">
      <c r="B509"/>
      <c r="C509"/>
      <c r="D509"/>
      <c r="E509"/>
      <c r="F509"/>
      <c r="G509"/>
      <c r="H509"/>
    </row>
    <row r="510" spans="2:8" ht="16.5" customHeight="1" x14ac:dyDescent="0.2">
      <c r="B510"/>
      <c r="C510"/>
      <c r="D510"/>
      <c r="E510"/>
      <c r="F510"/>
      <c r="G510"/>
      <c r="H510"/>
    </row>
    <row r="511" spans="2:8" ht="16.5" customHeight="1" x14ac:dyDescent="0.2">
      <c r="B511"/>
      <c r="C511"/>
      <c r="D511"/>
      <c r="E511"/>
      <c r="F511"/>
      <c r="G511"/>
      <c r="H511"/>
    </row>
    <row r="512" spans="2:8" ht="16.5" customHeight="1" x14ac:dyDescent="0.2">
      <c r="B512"/>
      <c r="C512"/>
      <c r="D512"/>
      <c r="E512"/>
      <c r="F512"/>
      <c r="G512"/>
      <c r="H512"/>
    </row>
    <row r="513" spans="2:8" ht="16.5" customHeight="1" x14ac:dyDescent="0.2">
      <c r="B513"/>
      <c r="C513"/>
      <c r="D513"/>
      <c r="E513"/>
      <c r="F513"/>
      <c r="G513"/>
      <c r="H513"/>
    </row>
    <row r="514" spans="2:8" ht="16.5" customHeight="1" x14ac:dyDescent="0.2">
      <c r="B514"/>
      <c r="C514"/>
      <c r="D514"/>
      <c r="E514"/>
      <c r="F514"/>
      <c r="G514"/>
      <c r="H514"/>
    </row>
    <row r="515" spans="2:8" ht="16.5" customHeight="1" x14ac:dyDescent="0.2">
      <c r="B515"/>
      <c r="C515"/>
      <c r="D515"/>
      <c r="E515"/>
      <c r="F515"/>
      <c r="G515"/>
      <c r="H515"/>
    </row>
    <row r="516" spans="2:8" ht="16.5" customHeight="1" x14ac:dyDescent="0.2">
      <c r="B516"/>
      <c r="C516"/>
      <c r="D516"/>
      <c r="E516"/>
      <c r="F516"/>
      <c r="G516"/>
      <c r="H516"/>
    </row>
    <row r="517" spans="2:8" ht="16.5" customHeight="1" x14ac:dyDescent="0.2">
      <c r="B517"/>
      <c r="C517"/>
      <c r="D517"/>
      <c r="E517"/>
      <c r="F517"/>
      <c r="G517"/>
      <c r="H517"/>
    </row>
    <row r="518" spans="2:8" ht="16.5" customHeight="1" x14ac:dyDescent="0.2">
      <c r="B518"/>
      <c r="C518"/>
      <c r="D518"/>
      <c r="E518"/>
      <c r="F518"/>
      <c r="G518"/>
      <c r="H518"/>
    </row>
    <row r="519" spans="2:8" ht="16.5" customHeight="1" x14ac:dyDescent="0.2">
      <c r="B519"/>
      <c r="C519"/>
      <c r="D519"/>
      <c r="E519"/>
      <c r="F519"/>
      <c r="G519"/>
      <c r="H519"/>
    </row>
    <row r="520" spans="2:8" ht="16.5" customHeight="1" x14ac:dyDescent="0.2">
      <c r="B520"/>
      <c r="C520"/>
      <c r="D520"/>
      <c r="E520"/>
      <c r="F520"/>
      <c r="G520"/>
      <c r="H520"/>
    </row>
    <row r="521" spans="2:8" ht="16.5" customHeight="1" x14ac:dyDescent="0.2">
      <c r="B521"/>
      <c r="C521"/>
      <c r="D521"/>
      <c r="E521"/>
      <c r="F521"/>
      <c r="G521"/>
      <c r="H521"/>
    </row>
    <row r="522" spans="2:8" ht="16.5" customHeight="1" x14ac:dyDescent="0.2">
      <c r="B522"/>
      <c r="C522"/>
      <c r="D522"/>
      <c r="E522"/>
      <c r="F522"/>
      <c r="G522"/>
      <c r="H522"/>
    </row>
    <row r="523" spans="2:8" ht="16.5" customHeight="1" x14ac:dyDescent="0.2">
      <c r="B523"/>
      <c r="C523"/>
      <c r="D523"/>
      <c r="E523"/>
      <c r="F523"/>
      <c r="G523"/>
      <c r="H523"/>
    </row>
    <row r="524" spans="2:8" ht="16.5" customHeight="1" x14ac:dyDescent="0.2">
      <c r="B524"/>
      <c r="C524"/>
      <c r="D524"/>
      <c r="E524"/>
      <c r="F524"/>
      <c r="G524"/>
      <c r="H524"/>
    </row>
    <row r="525" spans="2:8" ht="16.5" customHeight="1" x14ac:dyDescent="0.2">
      <c r="B525"/>
      <c r="C525"/>
      <c r="D525"/>
      <c r="E525"/>
      <c r="F525"/>
      <c r="G525"/>
      <c r="H525"/>
    </row>
    <row r="526" spans="2:8" ht="16.5" customHeight="1" x14ac:dyDescent="0.2">
      <c r="B526"/>
      <c r="C526"/>
      <c r="D526"/>
      <c r="E526"/>
      <c r="F526"/>
      <c r="G526"/>
      <c r="H526"/>
    </row>
    <row r="527" spans="2:8" ht="16.5" customHeight="1" x14ac:dyDescent="0.2">
      <c r="B527"/>
      <c r="C527"/>
      <c r="D527"/>
      <c r="E527"/>
      <c r="F527"/>
      <c r="G527"/>
      <c r="H527"/>
    </row>
    <row r="528" spans="2:8" ht="16.5" customHeight="1" x14ac:dyDescent="0.2">
      <c r="B528"/>
      <c r="C528"/>
      <c r="D528"/>
      <c r="E528"/>
      <c r="F528"/>
      <c r="G528"/>
      <c r="H528"/>
    </row>
    <row r="529" spans="2:8" ht="16.5" customHeight="1" x14ac:dyDescent="0.2">
      <c r="B529"/>
      <c r="C529"/>
      <c r="D529"/>
      <c r="E529"/>
      <c r="F529"/>
      <c r="G529"/>
      <c r="H529"/>
    </row>
    <row r="530" spans="2:8" ht="16.5" customHeight="1" x14ac:dyDescent="0.2">
      <c r="B530"/>
      <c r="C530"/>
      <c r="D530"/>
      <c r="E530"/>
      <c r="F530"/>
      <c r="G530"/>
      <c r="H530"/>
    </row>
    <row r="531" spans="2:8" ht="16.5" customHeight="1" x14ac:dyDescent="0.2">
      <c r="B531"/>
      <c r="C531"/>
      <c r="D531"/>
      <c r="E531"/>
      <c r="F531"/>
      <c r="G531"/>
      <c r="H531"/>
    </row>
    <row r="532" spans="2:8" ht="16.5" customHeight="1" x14ac:dyDescent="0.2">
      <c r="B532"/>
      <c r="C532"/>
      <c r="D532"/>
      <c r="E532"/>
      <c r="F532"/>
      <c r="G532"/>
      <c r="H532"/>
    </row>
    <row r="533" spans="2:8" ht="16.5" customHeight="1" x14ac:dyDescent="0.2">
      <c r="B533"/>
      <c r="C533"/>
      <c r="D533"/>
      <c r="E533"/>
      <c r="F533"/>
      <c r="G533"/>
      <c r="H533"/>
    </row>
    <row r="534" spans="2:8" ht="16.5" customHeight="1" x14ac:dyDescent="0.2">
      <c r="B534"/>
      <c r="C534"/>
      <c r="D534"/>
      <c r="E534"/>
      <c r="F534"/>
      <c r="G534"/>
      <c r="H534"/>
    </row>
    <row r="535" spans="2:8" ht="16.5" customHeight="1" x14ac:dyDescent="0.2">
      <c r="B535"/>
      <c r="C535"/>
      <c r="D535"/>
      <c r="E535"/>
      <c r="F535"/>
      <c r="G535"/>
      <c r="H535"/>
    </row>
    <row r="536" spans="2:8" ht="16.5" customHeight="1" x14ac:dyDescent="0.2">
      <c r="B536"/>
      <c r="C536"/>
      <c r="D536"/>
      <c r="E536"/>
      <c r="F536"/>
      <c r="G536"/>
      <c r="H536"/>
    </row>
    <row r="537" spans="2:8" ht="16.5" customHeight="1" x14ac:dyDescent="0.2">
      <c r="B537"/>
      <c r="C537"/>
      <c r="D537"/>
      <c r="E537"/>
      <c r="F537"/>
      <c r="G537"/>
      <c r="H537"/>
    </row>
    <row r="538" spans="2:8" ht="16.5" customHeight="1" x14ac:dyDescent="0.2">
      <c r="B538"/>
      <c r="C538"/>
      <c r="D538"/>
      <c r="E538"/>
      <c r="F538"/>
      <c r="G538"/>
      <c r="H538"/>
    </row>
    <row r="539" spans="2:8" ht="16.5" customHeight="1" x14ac:dyDescent="0.2">
      <c r="B539"/>
      <c r="C539"/>
      <c r="D539"/>
      <c r="E539"/>
      <c r="F539"/>
      <c r="G539"/>
      <c r="H539"/>
    </row>
    <row r="540" spans="2:8" ht="16.5" customHeight="1" x14ac:dyDescent="0.2">
      <c r="B540"/>
      <c r="C540"/>
      <c r="D540"/>
      <c r="E540"/>
      <c r="F540"/>
      <c r="G540"/>
      <c r="H540"/>
    </row>
    <row r="541" spans="2:8" ht="16.5" customHeight="1" x14ac:dyDescent="0.2">
      <c r="B541"/>
      <c r="C541"/>
      <c r="D541"/>
      <c r="E541"/>
      <c r="F541"/>
      <c r="G541"/>
      <c r="H541"/>
    </row>
    <row r="542" spans="2:8" ht="16.5" customHeight="1" x14ac:dyDescent="0.2">
      <c r="B542"/>
      <c r="C542"/>
      <c r="D542"/>
      <c r="E542"/>
      <c r="F542"/>
      <c r="G542"/>
      <c r="H542"/>
    </row>
    <row r="543" spans="2:8" ht="16.5" customHeight="1" x14ac:dyDescent="0.2">
      <c r="B543"/>
      <c r="C543"/>
      <c r="D543"/>
      <c r="E543"/>
      <c r="F543"/>
      <c r="G543"/>
      <c r="H543"/>
    </row>
    <row r="544" spans="2:8" ht="16.5" customHeight="1" x14ac:dyDescent="0.2">
      <c r="B544"/>
      <c r="C544"/>
      <c r="D544"/>
      <c r="E544"/>
      <c r="F544"/>
      <c r="G544"/>
      <c r="H544"/>
    </row>
    <row r="545" spans="2:8" ht="16.5" customHeight="1" x14ac:dyDescent="0.2">
      <c r="B545"/>
      <c r="C545"/>
      <c r="D545"/>
      <c r="E545"/>
      <c r="F545"/>
      <c r="G545"/>
      <c r="H545"/>
    </row>
    <row r="546" spans="2:8" ht="16.5" customHeight="1" x14ac:dyDescent="0.2">
      <c r="B546"/>
      <c r="C546"/>
      <c r="D546"/>
      <c r="E546"/>
      <c r="F546"/>
      <c r="G546"/>
      <c r="H546"/>
    </row>
    <row r="547" spans="2:8" ht="16.5" customHeight="1" x14ac:dyDescent="0.2">
      <c r="B547"/>
      <c r="C547"/>
      <c r="D547"/>
      <c r="E547"/>
      <c r="F547"/>
      <c r="G547"/>
      <c r="H547"/>
    </row>
    <row r="548" spans="2:8" ht="16.5" customHeight="1" x14ac:dyDescent="0.2">
      <c r="B548"/>
      <c r="C548"/>
      <c r="D548"/>
      <c r="E548"/>
      <c r="F548"/>
      <c r="G548"/>
      <c r="H548"/>
    </row>
    <row r="549" spans="2:8" ht="16.5" customHeight="1" x14ac:dyDescent="0.2">
      <c r="B549"/>
      <c r="C549"/>
      <c r="D549"/>
      <c r="E549"/>
      <c r="F549"/>
      <c r="G549"/>
      <c r="H549"/>
    </row>
    <row r="550" spans="2:8" ht="16.5" customHeight="1" x14ac:dyDescent="0.2">
      <c r="B550"/>
      <c r="C550"/>
      <c r="D550"/>
      <c r="E550"/>
      <c r="F550"/>
      <c r="G550"/>
      <c r="H550"/>
    </row>
    <row r="551" spans="2:8" ht="16.5" customHeight="1" x14ac:dyDescent="0.2">
      <c r="B551"/>
      <c r="C551"/>
      <c r="D551"/>
      <c r="E551"/>
      <c r="F551"/>
      <c r="G551"/>
      <c r="H551"/>
    </row>
    <row r="552" spans="2:8" ht="16.5" customHeight="1" x14ac:dyDescent="0.2">
      <c r="B552"/>
      <c r="C552"/>
      <c r="D552"/>
      <c r="E552"/>
      <c r="F552"/>
      <c r="G552"/>
      <c r="H552"/>
    </row>
    <row r="553" spans="2:8" ht="16.5" customHeight="1" x14ac:dyDescent="0.2">
      <c r="B553"/>
      <c r="C553"/>
      <c r="D553"/>
      <c r="E553"/>
      <c r="F553"/>
      <c r="G553"/>
      <c r="H553"/>
    </row>
    <row r="554" spans="2:8" ht="16.5" customHeight="1" x14ac:dyDescent="0.2">
      <c r="B554"/>
      <c r="C554"/>
      <c r="D554"/>
      <c r="E554"/>
      <c r="F554"/>
      <c r="G554"/>
      <c r="H554"/>
    </row>
    <row r="555" spans="2:8" ht="16.5" customHeight="1" x14ac:dyDescent="0.2">
      <c r="B555"/>
      <c r="C555"/>
      <c r="D555"/>
      <c r="E555"/>
      <c r="F555"/>
      <c r="G555"/>
      <c r="H555"/>
    </row>
    <row r="556" spans="2:8" ht="16.5" customHeight="1" x14ac:dyDescent="0.2">
      <c r="B556"/>
      <c r="C556"/>
      <c r="D556"/>
      <c r="E556"/>
      <c r="F556"/>
      <c r="G556"/>
      <c r="H556"/>
    </row>
    <row r="557" spans="2:8" ht="16.5" customHeight="1" x14ac:dyDescent="0.2">
      <c r="B557"/>
      <c r="C557"/>
      <c r="D557"/>
      <c r="E557"/>
      <c r="F557"/>
      <c r="G557"/>
      <c r="H557"/>
    </row>
    <row r="558" spans="2:8" ht="16.5" customHeight="1" x14ac:dyDescent="0.2">
      <c r="B558"/>
      <c r="C558"/>
      <c r="D558"/>
      <c r="E558"/>
      <c r="F558"/>
      <c r="G558"/>
      <c r="H558"/>
    </row>
    <row r="559" spans="2:8" ht="16.5" customHeight="1" x14ac:dyDescent="0.2">
      <c r="B559"/>
      <c r="C559"/>
      <c r="D559"/>
      <c r="E559"/>
      <c r="F559"/>
      <c r="G559"/>
      <c r="H559"/>
    </row>
    <row r="560" spans="2:8" ht="16.5" customHeight="1" x14ac:dyDescent="0.2">
      <c r="B560"/>
      <c r="C560"/>
      <c r="D560"/>
      <c r="E560"/>
      <c r="F560"/>
      <c r="G560"/>
      <c r="H560"/>
    </row>
    <row r="561" spans="2:8" ht="16.5" customHeight="1" x14ac:dyDescent="0.2">
      <c r="B561"/>
      <c r="C561"/>
      <c r="D561"/>
      <c r="E561"/>
      <c r="F561"/>
      <c r="G561"/>
      <c r="H561"/>
    </row>
    <row r="562" spans="2:8" ht="16.5" customHeight="1" x14ac:dyDescent="0.2">
      <c r="B562"/>
      <c r="C562"/>
      <c r="D562"/>
      <c r="E562"/>
      <c r="F562"/>
      <c r="G562"/>
      <c r="H562"/>
    </row>
    <row r="563" spans="2:8" ht="16.5" customHeight="1" x14ac:dyDescent="0.2">
      <c r="B563"/>
      <c r="C563"/>
      <c r="D563"/>
      <c r="E563"/>
      <c r="F563"/>
      <c r="G563"/>
      <c r="H563"/>
    </row>
    <row r="564" spans="2:8" ht="16.5" customHeight="1" x14ac:dyDescent="0.2">
      <c r="B564"/>
      <c r="C564"/>
      <c r="D564"/>
      <c r="E564"/>
      <c r="F564"/>
      <c r="G564"/>
      <c r="H564"/>
    </row>
    <row r="565" spans="2:8" ht="16.5" customHeight="1" x14ac:dyDescent="0.2">
      <c r="B565"/>
      <c r="C565"/>
      <c r="D565"/>
      <c r="E565"/>
      <c r="F565"/>
      <c r="G565"/>
      <c r="H565"/>
    </row>
    <row r="566" spans="2:8" ht="16.5" customHeight="1" x14ac:dyDescent="0.2">
      <c r="B566"/>
      <c r="C566"/>
      <c r="D566"/>
      <c r="E566"/>
      <c r="F566"/>
      <c r="G566"/>
      <c r="H566"/>
    </row>
    <row r="567" spans="2:8" ht="16.5" customHeight="1" x14ac:dyDescent="0.2">
      <c r="B567"/>
      <c r="C567"/>
      <c r="D567"/>
      <c r="E567"/>
      <c r="F567"/>
      <c r="G567"/>
      <c r="H567"/>
    </row>
    <row r="568" spans="2:8" ht="16.5" customHeight="1" x14ac:dyDescent="0.2">
      <c r="B568"/>
      <c r="C568"/>
      <c r="D568"/>
      <c r="E568"/>
      <c r="F568"/>
      <c r="G568"/>
      <c r="H568"/>
    </row>
    <row r="569" spans="2:8" ht="16.5" customHeight="1" x14ac:dyDescent="0.2">
      <c r="B569"/>
      <c r="C569"/>
      <c r="D569"/>
      <c r="E569"/>
      <c r="F569"/>
      <c r="G569"/>
      <c r="H569"/>
    </row>
    <row r="570" spans="2:8" ht="16.5" customHeight="1" x14ac:dyDescent="0.2">
      <c r="B570"/>
      <c r="C570"/>
      <c r="D570"/>
      <c r="E570"/>
      <c r="F570"/>
      <c r="G570"/>
      <c r="H570"/>
    </row>
    <row r="571" spans="2:8" ht="16.5" customHeight="1" x14ac:dyDescent="0.2">
      <c r="B571"/>
      <c r="C571"/>
      <c r="D571"/>
      <c r="E571"/>
      <c r="F571"/>
      <c r="G571"/>
      <c r="H571"/>
    </row>
    <row r="572" spans="2:8" ht="16.5" customHeight="1" x14ac:dyDescent="0.2">
      <c r="B572"/>
      <c r="C572"/>
      <c r="D572"/>
      <c r="E572"/>
      <c r="F572"/>
      <c r="G572"/>
      <c r="H572"/>
    </row>
    <row r="573" spans="2:8" ht="16.5" customHeight="1" x14ac:dyDescent="0.2">
      <c r="B573"/>
      <c r="C573"/>
      <c r="D573"/>
      <c r="E573"/>
      <c r="F573"/>
      <c r="G573"/>
      <c r="H573"/>
    </row>
    <row r="574" spans="2:8" ht="16.5" customHeight="1" x14ac:dyDescent="0.2">
      <c r="B574"/>
      <c r="C574"/>
      <c r="D574"/>
      <c r="E574"/>
      <c r="F574"/>
      <c r="G574"/>
      <c r="H574"/>
    </row>
    <row r="575" spans="2:8" ht="16.5" customHeight="1" x14ac:dyDescent="0.2">
      <c r="B575"/>
      <c r="C575"/>
      <c r="D575"/>
      <c r="E575"/>
      <c r="F575"/>
      <c r="G575"/>
      <c r="H575"/>
    </row>
    <row r="576" spans="2:8" ht="16.5" customHeight="1" x14ac:dyDescent="0.2">
      <c r="B576"/>
      <c r="C576"/>
      <c r="D576"/>
      <c r="E576"/>
      <c r="F576"/>
      <c r="G576"/>
      <c r="H576"/>
    </row>
    <row r="577" spans="2:8" ht="16.5" customHeight="1" x14ac:dyDescent="0.2">
      <c r="B577"/>
      <c r="C577"/>
      <c r="D577"/>
      <c r="E577"/>
      <c r="F577"/>
      <c r="G577"/>
      <c r="H577"/>
    </row>
    <row r="578" spans="2:8" ht="16.5" customHeight="1" x14ac:dyDescent="0.2">
      <c r="B578"/>
      <c r="C578"/>
      <c r="D578"/>
      <c r="E578"/>
      <c r="F578"/>
      <c r="G578"/>
      <c r="H578"/>
    </row>
    <row r="579" spans="2:8" ht="16.5" customHeight="1" x14ac:dyDescent="0.2">
      <c r="B579"/>
      <c r="C579"/>
      <c r="D579"/>
      <c r="E579"/>
      <c r="F579"/>
      <c r="G579"/>
      <c r="H579"/>
    </row>
    <row r="580" spans="2:8" ht="16.5" customHeight="1" x14ac:dyDescent="0.2">
      <c r="B580"/>
      <c r="C580"/>
      <c r="D580"/>
      <c r="E580"/>
      <c r="F580"/>
      <c r="G580"/>
      <c r="H580"/>
    </row>
    <row r="581" spans="2:8" ht="16.5" customHeight="1" x14ac:dyDescent="0.2">
      <c r="B581"/>
      <c r="C581"/>
      <c r="D581"/>
      <c r="E581"/>
      <c r="F581"/>
      <c r="G581"/>
      <c r="H581"/>
    </row>
    <row r="582" spans="2:8" ht="16.5" customHeight="1" x14ac:dyDescent="0.2">
      <c r="B582"/>
      <c r="C582"/>
      <c r="D582"/>
      <c r="E582"/>
      <c r="F582"/>
      <c r="G582"/>
      <c r="H582"/>
    </row>
    <row r="583" spans="2:8" ht="16.5" customHeight="1" x14ac:dyDescent="0.2">
      <c r="B583"/>
      <c r="C583"/>
      <c r="D583"/>
      <c r="E583"/>
      <c r="F583"/>
      <c r="G583"/>
      <c r="H583"/>
    </row>
    <row r="584" spans="2:8" ht="16.5" customHeight="1" x14ac:dyDescent="0.2">
      <c r="B584"/>
      <c r="C584"/>
      <c r="D584"/>
      <c r="E584"/>
      <c r="F584"/>
      <c r="G584"/>
      <c r="H584"/>
    </row>
    <row r="585" spans="2:8" ht="16.5" customHeight="1" x14ac:dyDescent="0.2">
      <c r="B585"/>
      <c r="C585"/>
      <c r="D585"/>
      <c r="E585"/>
      <c r="F585"/>
      <c r="G585"/>
      <c r="H585"/>
    </row>
    <row r="586" spans="2:8" ht="16.5" customHeight="1" x14ac:dyDescent="0.2">
      <c r="B586"/>
      <c r="C586"/>
      <c r="D586"/>
      <c r="E586"/>
      <c r="F586"/>
      <c r="G586"/>
      <c r="H586"/>
    </row>
    <row r="587" spans="2:8" ht="16.5" customHeight="1" x14ac:dyDescent="0.2">
      <c r="B587"/>
      <c r="C587"/>
      <c r="D587"/>
      <c r="E587"/>
      <c r="F587"/>
      <c r="G587"/>
      <c r="H587"/>
    </row>
    <row r="588" spans="2:8" ht="16.5" customHeight="1" x14ac:dyDescent="0.2">
      <c r="B588"/>
      <c r="C588"/>
      <c r="D588"/>
      <c r="E588"/>
      <c r="F588"/>
      <c r="G588"/>
      <c r="H588"/>
    </row>
    <row r="589" spans="2:8" ht="16.5" customHeight="1" x14ac:dyDescent="0.2">
      <c r="B589"/>
      <c r="C589"/>
      <c r="D589"/>
      <c r="E589"/>
      <c r="F589"/>
      <c r="G589"/>
      <c r="H589"/>
    </row>
    <row r="590" spans="2:8" ht="16.5" customHeight="1" x14ac:dyDescent="0.2">
      <c r="B590"/>
      <c r="C590"/>
      <c r="D590"/>
      <c r="E590"/>
      <c r="F590"/>
      <c r="G590"/>
      <c r="H590"/>
    </row>
    <row r="591" spans="2:8" ht="16.5" customHeight="1" x14ac:dyDescent="0.2">
      <c r="B591"/>
      <c r="C591"/>
      <c r="D591"/>
      <c r="E591"/>
      <c r="F591"/>
      <c r="G591"/>
      <c r="H591"/>
    </row>
    <row r="592" spans="2:8" ht="16.5" customHeight="1" x14ac:dyDescent="0.2">
      <c r="B592"/>
      <c r="C592"/>
      <c r="D592"/>
      <c r="E592"/>
      <c r="F592"/>
      <c r="G592"/>
      <c r="H592"/>
    </row>
    <row r="593" spans="2:8" ht="16.5" customHeight="1" x14ac:dyDescent="0.2">
      <c r="B593"/>
      <c r="C593"/>
      <c r="D593"/>
      <c r="E593"/>
      <c r="F593"/>
      <c r="G593"/>
      <c r="H593"/>
    </row>
    <row r="594" spans="2:8" ht="16.5" customHeight="1" x14ac:dyDescent="0.2">
      <c r="B594"/>
      <c r="C594"/>
      <c r="D594"/>
      <c r="E594"/>
      <c r="F594"/>
      <c r="G594"/>
      <c r="H594"/>
    </row>
    <row r="595" spans="2:8" ht="16.5" customHeight="1" x14ac:dyDescent="0.2">
      <c r="B595"/>
      <c r="C595"/>
      <c r="D595"/>
      <c r="E595"/>
      <c r="F595"/>
      <c r="G595"/>
      <c r="H595"/>
    </row>
    <row r="596" spans="2:8" ht="16.5" customHeight="1" x14ac:dyDescent="0.2">
      <c r="B596"/>
      <c r="C596"/>
      <c r="D596"/>
      <c r="E596"/>
      <c r="F596"/>
      <c r="G596"/>
      <c r="H596"/>
    </row>
    <row r="597" spans="2:8" ht="16.5" customHeight="1" x14ac:dyDescent="0.2">
      <c r="B597"/>
      <c r="C597"/>
      <c r="D597"/>
      <c r="E597"/>
      <c r="F597"/>
      <c r="G597"/>
      <c r="H597"/>
    </row>
    <row r="598" spans="2:8" ht="16.5" customHeight="1" x14ac:dyDescent="0.2">
      <c r="B598"/>
      <c r="C598"/>
      <c r="D598"/>
      <c r="E598"/>
      <c r="F598"/>
      <c r="G598"/>
      <c r="H598"/>
    </row>
    <row r="599" spans="2:8" ht="16.5" customHeight="1" x14ac:dyDescent="0.2">
      <c r="B599"/>
      <c r="C599"/>
      <c r="D599"/>
      <c r="E599"/>
      <c r="F599"/>
      <c r="G599"/>
      <c r="H599"/>
    </row>
    <row r="600" spans="2:8" ht="16.5" customHeight="1" x14ac:dyDescent="0.2">
      <c r="B600"/>
      <c r="C600"/>
      <c r="D600"/>
      <c r="E600"/>
      <c r="F600"/>
      <c r="G600"/>
      <c r="H600"/>
    </row>
    <row r="601" spans="2:8" ht="16.5" customHeight="1" x14ac:dyDescent="0.2">
      <c r="B601"/>
      <c r="C601"/>
      <c r="D601"/>
      <c r="E601"/>
      <c r="F601"/>
      <c r="G601"/>
      <c r="H601"/>
    </row>
    <row r="602" spans="2:8" ht="16.5" customHeight="1" x14ac:dyDescent="0.2">
      <c r="B602"/>
      <c r="C602"/>
      <c r="D602"/>
      <c r="E602"/>
      <c r="F602"/>
      <c r="G602"/>
      <c r="H602"/>
    </row>
    <row r="603" spans="2:8" ht="16.5" customHeight="1" x14ac:dyDescent="0.2">
      <c r="B603"/>
      <c r="C603"/>
      <c r="D603"/>
      <c r="E603"/>
      <c r="F603"/>
      <c r="G603"/>
      <c r="H603"/>
    </row>
    <row r="604" spans="2:8" ht="16.5" customHeight="1" x14ac:dyDescent="0.2">
      <c r="B604"/>
      <c r="C604"/>
      <c r="D604"/>
      <c r="E604"/>
      <c r="F604"/>
      <c r="G604"/>
      <c r="H604"/>
    </row>
    <row r="605" spans="2:8" ht="16.5" customHeight="1" x14ac:dyDescent="0.2">
      <c r="B605"/>
      <c r="C605"/>
      <c r="D605"/>
      <c r="E605"/>
      <c r="F605"/>
      <c r="G605"/>
      <c r="H605"/>
    </row>
    <row r="606" spans="2:8" ht="16.5" customHeight="1" x14ac:dyDescent="0.2">
      <c r="B606"/>
      <c r="C606"/>
      <c r="D606"/>
      <c r="E606"/>
      <c r="F606"/>
      <c r="G606"/>
      <c r="H606"/>
    </row>
    <row r="607" spans="2:8" ht="16.5" customHeight="1" x14ac:dyDescent="0.2">
      <c r="B607"/>
      <c r="C607"/>
      <c r="D607"/>
      <c r="E607"/>
      <c r="F607"/>
      <c r="G607"/>
      <c r="H607"/>
    </row>
    <row r="608" spans="2:8" ht="16.5" customHeight="1" x14ac:dyDescent="0.2">
      <c r="B608"/>
      <c r="C608"/>
      <c r="D608"/>
      <c r="E608"/>
      <c r="F608"/>
      <c r="G608"/>
      <c r="H608"/>
    </row>
    <row r="609" spans="2:8" ht="16.5" customHeight="1" x14ac:dyDescent="0.2">
      <c r="B609"/>
      <c r="C609"/>
      <c r="D609"/>
      <c r="E609"/>
      <c r="F609"/>
      <c r="G609"/>
      <c r="H609"/>
    </row>
    <row r="610" spans="2:8" ht="16.5" customHeight="1" x14ac:dyDescent="0.2">
      <c r="B610"/>
      <c r="C610"/>
      <c r="D610"/>
      <c r="E610"/>
      <c r="F610"/>
      <c r="G610"/>
      <c r="H610"/>
    </row>
    <row r="611" spans="2:8" ht="16.5" customHeight="1" x14ac:dyDescent="0.2">
      <c r="B611"/>
      <c r="C611"/>
      <c r="D611"/>
      <c r="E611"/>
      <c r="F611"/>
      <c r="G611"/>
      <c r="H611"/>
    </row>
    <row r="612" spans="2:8" ht="16.5" customHeight="1" x14ac:dyDescent="0.2">
      <c r="B612"/>
      <c r="C612"/>
      <c r="D612"/>
      <c r="E612"/>
      <c r="F612"/>
      <c r="G612"/>
      <c r="H612"/>
    </row>
    <row r="613" spans="2:8" ht="16.5" customHeight="1" x14ac:dyDescent="0.2">
      <c r="B613"/>
      <c r="C613"/>
      <c r="D613"/>
      <c r="E613"/>
      <c r="F613"/>
      <c r="G613"/>
      <c r="H613"/>
    </row>
    <row r="614" spans="2:8" ht="16.5" customHeight="1" x14ac:dyDescent="0.2">
      <c r="B614"/>
      <c r="C614"/>
      <c r="D614"/>
      <c r="E614"/>
      <c r="F614"/>
      <c r="G614"/>
      <c r="H614"/>
    </row>
    <row r="615" spans="2:8" ht="16.5" customHeight="1" x14ac:dyDescent="0.2">
      <c r="B615"/>
      <c r="C615"/>
      <c r="D615"/>
      <c r="E615"/>
      <c r="F615"/>
      <c r="G615"/>
      <c r="H615"/>
    </row>
    <row r="616" spans="2:8" ht="16.5" customHeight="1" x14ac:dyDescent="0.2">
      <c r="B616"/>
      <c r="C616"/>
      <c r="D616"/>
      <c r="E616"/>
      <c r="F616"/>
      <c r="G616"/>
      <c r="H616"/>
    </row>
    <row r="617" spans="2:8" ht="16.5" customHeight="1" x14ac:dyDescent="0.2">
      <c r="B617"/>
      <c r="C617"/>
      <c r="D617"/>
      <c r="E617"/>
      <c r="F617"/>
      <c r="G617"/>
      <c r="H617"/>
    </row>
    <row r="618" spans="2:8" ht="16.5" customHeight="1" x14ac:dyDescent="0.2">
      <c r="B618"/>
      <c r="C618"/>
      <c r="D618"/>
      <c r="E618"/>
      <c r="F618"/>
      <c r="G618"/>
      <c r="H618"/>
    </row>
    <row r="619" spans="2:8" ht="16.5" customHeight="1" x14ac:dyDescent="0.2">
      <c r="B619"/>
      <c r="C619"/>
      <c r="D619"/>
      <c r="E619"/>
      <c r="F619"/>
      <c r="G619"/>
      <c r="H619"/>
    </row>
    <row r="620" spans="2:8" ht="16.5" customHeight="1" x14ac:dyDescent="0.2">
      <c r="B620"/>
      <c r="C620"/>
      <c r="D620"/>
      <c r="E620"/>
      <c r="F620"/>
      <c r="G620"/>
      <c r="H620"/>
    </row>
    <row r="621" spans="2:8" ht="16.5" customHeight="1" x14ac:dyDescent="0.2">
      <c r="B621"/>
      <c r="C621"/>
      <c r="D621"/>
      <c r="E621"/>
      <c r="F621"/>
      <c r="G621"/>
      <c r="H621"/>
    </row>
    <row r="622" spans="2:8" ht="16.5" customHeight="1" x14ac:dyDescent="0.2">
      <c r="B622"/>
      <c r="C622"/>
      <c r="D622"/>
      <c r="E622"/>
      <c r="F622"/>
      <c r="G622"/>
      <c r="H622"/>
    </row>
    <row r="623" spans="2:8" ht="16.5" customHeight="1" x14ac:dyDescent="0.2">
      <c r="B623"/>
      <c r="C623"/>
      <c r="D623"/>
      <c r="E623"/>
      <c r="F623"/>
      <c r="G623"/>
      <c r="H623"/>
    </row>
    <row r="624" spans="2:8" ht="16.5" customHeight="1" x14ac:dyDescent="0.2">
      <c r="B624"/>
      <c r="C624"/>
      <c r="D624"/>
      <c r="E624"/>
      <c r="F624"/>
      <c r="G624"/>
      <c r="H624"/>
    </row>
    <row r="625" spans="2:8" ht="16.5" customHeight="1" x14ac:dyDescent="0.2">
      <c r="B625"/>
      <c r="C625"/>
      <c r="D625"/>
      <c r="E625"/>
      <c r="F625"/>
      <c r="G625"/>
      <c r="H625"/>
    </row>
    <row r="626" spans="2:8" ht="16.5" customHeight="1" x14ac:dyDescent="0.2">
      <c r="B626"/>
      <c r="C626"/>
      <c r="D626"/>
      <c r="E626"/>
      <c r="F626"/>
      <c r="G626"/>
      <c r="H626"/>
    </row>
    <row r="627" spans="2:8" ht="16.5" customHeight="1" x14ac:dyDescent="0.2">
      <c r="B627"/>
      <c r="C627"/>
      <c r="D627"/>
      <c r="E627"/>
      <c r="F627"/>
      <c r="G627"/>
      <c r="H627"/>
    </row>
    <row r="628" spans="2:8" ht="16.5" customHeight="1" x14ac:dyDescent="0.2">
      <c r="B628"/>
      <c r="C628"/>
      <c r="D628"/>
      <c r="E628"/>
      <c r="F628"/>
      <c r="G628"/>
      <c r="H628"/>
    </row>
    <row r="629" spans="2:8" ht="16.5" customHeight="1" x14ac:dyDescent="0.2">
      <c r="B629"/>
      <c r="C629"/>
      <c r="D629"/>
      <c r="E629"/>
      <c r="F629"/>
      <c r="G629"/>
      <c r="H629"/>
    </row>
    <row r="630" spans="2:8" ht="16.5" customHeight="1" x14ac:dyDescent="0.2">
      <c r="B630"/>
      <c r="C630"/>
      <c r="D630"/>
      <c r="E630"/>
      <c r="F630"/>
      <c r="G630"/>
      <c r="H630"/>
    </row>
    <row r="631" spans="2:8" ht="16.5" customHeight="1" x14ac:dyDescent="0.2">
      <c r="B631"/>
      <c r="C631"/>
      <c r="D631"/>
      <c r="E631"/>
      <c r="F631"/>
      <c r="G631"/>
      <c r="H631"/>
    </row>
    <row r="632" spans="2:8" ht="16.5" customHeight="1" x14ac:dyDescent="0.2">
      <c r="B632"/>
      <c r="C632"/>
      <c r="D632"/>
      <c r="E632"/>
      <c r="F632"/>
      <c r="G632"/>
      <c r="H632"/>
    </row>
    <row r="633" spans="2:8" ht="16.5" customHeight="1" x14ac:dyDescent="0.2">
      <c r="B633"/>
      <c r="C633"/>
      <c r="D633"/>
      <c r="E633"/>
      <c r="F633"/>
      <c r="G633"/>
      <c r="H633"/>
    </row>
    <row r="634" spans="2:8" ht="16.5" customHeight="1" x14ac:dyDescent="0.2">
      <c r="B634"/>
      <c r="C634"/>
      <c r="D634"/>
      <c r="E634"/>
      <c r="F634"/>
      <c r="G634"/>
      <c r="H634"/>
    </row>
    <row r="635" spans="2:8" ht="16.5" customHeight="1" x14ac:dyDescent="0.2">
      <c r="B635"/>
      <c r="C635"/>
      <c r="D635"/>
      <c r="E635"/>
      <c r="F635"/>
      <c r="G635"/>
      <c r="H635"/>
    </row>
    <row r="636" spans="2:8" ht="16.5" customHeight="1" x14ac:dyDescent="0.2">
      <c r="B636"/>
      <c r="C636"/>
      <c r="D636"/>
      <c r="E636"/>
      <c r="F636"/>
      <c r="G636"/>
      <c r="H636"/>
    </row>
    <row r="637" spans="2:8" ht="16.5" customHeight="1" x14ac:dyDescent="0.2">
      <c r="B637"/>
      <c r="C637"/>
      <c r="D637"/>
      <c r="E637"/>
      <c r="F637"/>
      <c r="G637"/>
      <c r="H637"/>
    </row>
    <row r="638" spans="2:8" ht="16.5" customHeight="1" x14ac:dyDescent="0.2">
      <c r="B638"/>
      <c r="C638"/>
      <c r="D638"/>
      <c r="E638"/>
      <c r="F638"/>
      <c r="G638"/>
      <c r="H638"/>
    </row>
    <row r="639" spans="2:8" ht="16.5" customHeight="1" x14ac:dyDescent="0.2">
      <c r="B639"/>
      <c r="C639"/>
      <c r="D639"/>
      <c r="E639"/>
      <c r="F639"/>
      <c r="G639"/>
      <c r="H639"/>
    </row>
    <row r="640" spans="2:8" ht="16.5" customHeight="1" x14ac:dyDescent="0.2">
      <c r="B640"/>
      <c r="C640"/>
      <c r="D640"/>
      <c r="E640"/>
      <c r="F640"/>
      <c r="G640"/>
      <c r="H640"/>
    </row>
    <row r="641" spans="2:8" ht="16.5" customHeight="1" x14ac:dyDescent="0.2">
      <c r="B641"/>
      <c r="C641"/>
      <c r="D641"/>
      <c r="E641"/>
      <c r="F641"/>
      <c r="G641"/>
      <c r="H641"/>
    </row>
    <row r="642" spans="2:8" ht="16.5" customHeight="1" x14ac:dyDescent="0.2">
      <c r="B642"/>
      <c r="C642"/>
      <c r="D642"/>
      <c r="E642"/>
      <c r="F642"/>
      <c r="G642"/>
      <c r="H642"/>
    </row>
    <row r="643" spans="2:8" ht="16.5" customHeight="1" x14ac:dyDescent="0.2">
      <c r="B643"/>
      <c r="C643"/>
      <c r="D643"/>
      <c r="E643"/>
      <c r="F643"/>
      <c r="G643"/>
      <c r="H643"/>
    </row>
    <row r="644" spans="2:8" ht="16.5" customHeight="1" x14ac:dyDescent="0.2">
      <c r="B644"/>
      <c r="C644"/>
      <c r="D644"/>
      <c r="E644"/>
      <c r="F644"/>
      <c r="G644"/>
      <c r="H644"/>
    </row>
    <row r="645" spans="2:8" ht="16.5" customHeight="1" x14ac:dyDescent="0.2">
      <c r="B645"/>
      <c r="C645"/>
      <c r="D645"/>
      <c r="E645"/>
      <c r="F645"/>
      <c r="G645"/>
      <c r="H645"/>
    </row>
    <row r="646" spans="2:8" ht="16.5" customHeight="1" x14ac:dyDescent="0.2">
      <c r="B646"/>
      <c r="C646"/>
      <c r="D646"/>
      <c r="E646"/>
      <c r="F646"/>
      <c r="G646"/>
      <c r="H646"/>
    </row>
    <row r="647" spans="2:8" ht="16.5" customHeight="1" x14ac:dyDescent="0.2">
      <c r="B647"/>
      <c r="C647"/>
      <c r="D647"/>
      <c r="E647"/>
      <c r="F647"/>
      <c r="G647"/>
      <c r="H647"/>
    </row>
    <row r="648" spans="2:8" ht="16.5" customHeight="1" x14ac:dyDescent="0.2">
      <c r="B648"/>
      <c r="C648"/>
      <c r="D648"/>
      <c r="E648"/>
      <c r="F648"/>
      <c r="G648"/>
      <c r="H648"/>
    </row>
    <row r="649" spans="2:8" ht="16.5" customHeight="1" x14ac:dyDescent="0.2">
      <c r="B649"/>
      <c r="C649"/>
      <c r="D649"/>
      <c r="E649"/>
      <c r="F649"/>
      <c r="G649"/>
      <c r="H649"/>
    </row>
    <row r="650" spans="2:8" ht="16.5" customHeight="1" x14ac:dyDescent="0.2">
      <c r="B650"/>
      <c r="C650"/>
      <c r="D650"/>
      <c r="E650"/>
      <c r="F650"/>
      <c r="G650"/>
      <c r="H650"/>
    </row>
    <row r="651" spans="2:8" ht="16.5" customHeight="1" x14ac:dyDescent="0.2">
      <c r="B651"/>
      <c r="C651"/>
      <c r="D651"/>
      <c r="E651"/>
      <c r="F651"/>
      <c r="G651"/>
      <c r="H651"/>
    </row>
    <row r="652" spans="2:8" ht="16.5" customHeight="1" x14ac:dyDescent="0.2">
      <c r="B652"/>
      <c r="C652"/>
      <c r="D652"/>
      <c r="E652"/>
      <c r="F652"/>
      <c r="G652"/>
      <c r="H652"/>
    </row>
    <row r="653" spans="2:8" ht="16.5" customHeight="1" x14ac:dyDescent="0.2">
      <c r="B653"/>
      <c r="C653"/>
      <c r="D653"/>
      <c r="E653"/>
      <c r="F653"/>
      <c r="G653"/>
      <c r="H653"/>
    </row>
    <row r="654" spans="2:8" ht="16.5" customHeight="1" x14ac:dyDescent="0.2">
      <c r="B654"/>
      <c r="C654"/>
      <c r="D654"/>
      <c r="E654"/>
      <c r="F654"/>
      <c r="G654"/>
      <c r="H654"/>
    </row>
    <row r="655" spans="2:8" ht="16.5" customHeight="1" x14ac:dyDescent="0.2">
      <c r="B655"/>
      <c r="C655"/>
      <c r="D655"/>
      <c r="E655"/>
      <c r="F655"/>
      <c r="G655"/>
      <c r="H655"/>
    </row>
    <row r="656" spans="2:8" ht="16.5" customHeight="1" x14ac:dyDescent="0.2">
      <c r="B656"/>
      <c r="C656"/>
      <c r="D656"/>
      <c r="E656"/>
      <c r="F656"/>
      <c r="G656"/>
      <c r="H656"/>
    </row>
    <row r="657" spans="2:8" ht="16.5" customHeight="1" x14ac:dyDescent="0.2">
      <c r="B657"/>
      <c r="C657"/>
      <c r="D657"/>
      <c r="E657"/>
      <c r="F657"/>
      <c r="G657"/>
      <c r="H657"/>
    </row>
    <row r="658" spans="2:8" ht="16.5" customHeight="1" x14ac:dyDescent="0.2">
      <c r="B658"/>
      <c r="C658"/>
      <c r="D658"/>
      <c r="E658"/>
      <c r="F658"/>
      <c r="G658"/>
      <c r="H658"/>
    </row>
    <row r="659" spans="2:8" ht="16.5" customHeight="1" x14ac:dyDescent="0.2">
      <c r="B659"/>
      <c r="C659"/>
      <c r="D659"/>
      <c r="E659"/>
      <c r="F659"/>
      <c r="G659"/>
      <c r="H659"/>
    </row>
    <row r="660" spans="2:8" ht="16.5" customHeight="1" x14ac:dyDescent="0.2">
      <c r="B660"/>
      <c r="C660"/>
      <c r="D660"/>
      <c r="E660"/>
      <c r="F660"/>
      <c r="G660"/>
      <c r="H660"/>
    </row>
    <row r="661" spans="2:8" ht="16.5" customHeight="1" x14ac:dyDescent="0.2">
      <c r="B661"/>
      <c r="C661"/>
      <c r="D661"/>
      <c r="E661"/>
      <c r="F661"/>
      <c r="G661"/>
      <c r="H661"/>
    </row>
    <row r="662" spans="2:8" ht="16.5" customHeight="1" x14ac:dyDescent="0.2">
      <c r="B662"/>
      <c r="C662"/>
      <c r="D662"/>
      <c r="E662"/>
      <c r="F662"/>
      <c r="G662"/>
      <c r="H662"/>
    </row>
    <row r="663" spans="2:8" ht="16.5" customHeight="1" x14ac:dyDescent="0.2">
      <c r="B663"/>
      <c r="C663"/>
      <c r="D663"/>
      <c r="E663"/>
      <c r="F663"/>
      <c r="G663"/>
      <c r="H663"/>
    </row>
    <row r="664" spans="2:8" ht="16.5" customHeight="1" x14ac:dyDescent="0.2">
      <c r="B664"/>
      <c r="C664"/>
      <c r="D664"/>
      <c r="E664"/>
      <c r="F664"/>
      <c r="G664"/>
      <c r="H664"/>
    </row>
    <row r="665" spans="2:8" ht="16.5" customHeight="1" x14ac:dyDescent="0.2">
      <c r="B665"/>
      <c r="C665"/>
      <c r="D665"/>
      <c r="E665"/>
      <c r="F665"/>
      <c r="G665"/>
      <c r="H665"/>
    </row>
    <row r="666" spans="2:8" ht="16.5" customHeight="1" x14ac:dyDescent="0.2">
      <c r="B666"/>
      <c r="C666"/>
      <c r="D666"/>
      <c r="E666"/>
      <c r="F666"/>
      <c r="G666"/>
      <c r="H666"/>
    </row>
    <row r="667" spans="2:8" ht="16.5" customHeight="1" x14ac:dyDescent="0.2">
      <c r="B667"/>
      <c r="C667"/>
      <c r="D667"/>
      <c r="E667"/>
      <c r="F667"/>
      <c r="G667"/>
      <c r="H667"/>
    </row>
    <row r="668" spans="2:8" ht="16.5" customHeight="1" x14ac:dyDescent="0.2">
      <c r="B668"/>
      <c r="C668"/>
      <c r="D668"/>
      <c r="E668"/>
      <c r="F668"/>
      <c r="G668"/>
      <c r="H668"/>
    </row>
    <row r="669" spans="2:8" ht="16.5" customHeight="1" x14ac:dyDescent="0.2">
      <c r="B669"/>
      <c r="C669"/>
      <c r="D669"/>
      <c r="E669"/>
      <c r="F669"/>
      <c r="G669"/>
      <c r="H669"/>
    </row>
    <row r="670" spans="2:8" ht="16.5" customHeight="1" x14ac:dyDescent="0.2">
      <c r="B670"/>
      <c r="C670"/>
      <c r="D670"/>
      <c r="E670"/>
      <c r="F670"/>
      <c r="G670"/>
      <c r="H670"/>
    </row>
    <row r="671" spans="2:8" ht="16.5" customHeight="1" x14ac:dyDescent="0.2">
      <c r="B671"/>
      <c r="C671"/>
      <c r="D671"/>
      <c r="E671"/>
      <c r="F671"/>
      <c r="G671"/>
      <c r="H671"/>
    </row>
    <row r="672" spans="2:8" ht="16.5" customHeight="1" x14ac:dyDescent="0.2">
      <c r="B672"/>
      <c r="C672"/>
      <c r="D672"/>
      <c r="E672"/>
      <c r="F672"/>
      <c r="G672"/>
      <c r="H672"/>
    </row>
    <row r="673" spans="2:8" ht="16.5" customHeight="1" x14ac:dyDescent="0.2">
      <c r="B673"/>
      <c r="C673"/>
      <c r="D673"/>
      <c r="E673"/>
      <c r="F673"/>
      <c r="G673"/>
      <c r="H673"/>
    </row>
    <row r="674" spans="2:8" ht="16.5" customHeight="1" x14ac:dyDescent="0.2">
      <c r="B674"/>
      <c r="C674"/>
      <c r="D674"/>
      <c r="E674"/>
      <c r="F674"/>
      <c r="G674"/>
      <c r="H674"/>
    </row>
    <row r="675" spans="2:8" ht="16.5" customHeight="1" x14ac:dyDescent="0.2">
      <c r="B675"/>
      <c r="C675"/>
      <c r="D675"/>
      <c r="E675"/>
      <c r="F675"/>
      <c r="G675"/>
      <c r="H675"/>
    </row>
    <row r="676" spans="2:8" ht="16.5" customHeight="1" x14ac:dyDescent="0.2">
      <c r="B676"/>
      <c r="C676"/>
      <c r="D676"/>
      <c r="E676"/>
      <c r="F676"/>
      <c r="G676"/>
      <c r="H676"/>
    </row>
    <row r="677" spans="2:8" ht="16.5" customHeight="1" x14ac:dyDescent="0.2">
      <c r="B677"/>
      <c r="C677"/>
      <c r="D677"/>
      <c r="E677"/>
      <c r="F677"/>
      <c r="G677"/>
      <c r="H677"/>
    </row>
    <row r="678" spans="2:8" ht="16.5" customHeight="1" x14ac:dyDescent="0.2">
      <c r="B678"/>
      <c r="C678"/>
      <c r="D678"/>
      <c r="E678"/>
      <c r="F678"/>
      <c r="G678"/>
      <c r="H678"/>
    </row>
    <row r="679" spans="2:8" ht="16.5" customHeight="1" x14ac:dyDescent="0.2">
      <c r="B679"/>
      <c r="C679"/>
      <c r="D679"/>
      <c r="E679"/>
      <c r="F679"/>
      <c r="G679"/>
      <c r="H679"/>
    </row>
    <row r="680" spans="2:8" ht="16.5" customHeight="1" x14ac:dyDescent="0.2">
      <c r="B680"/>
      <c r="C680"/>
      <c r="D680"/>
      <c r="E680"/>
      <c r="F680"/>
      <c r="G680"/>
      <c r="H680"/>
    </row>
    <row r="681" spans="2:8" ht="16.5" customHeight="1" x14ac:dyDescent="0.2">
      <c r="B681"/>
      <c r="C681"/>
      <c r="D681"/>
      <c r="E681"/>
      <c r="F681"/>
      <c r="G681"/>
      <c r="H681"/>
    </row>
    <row r="682" spans="2:8" ht="16.5" customHeight="1" x14ac:dyDescent="0.2">
      <c r="B682"/>
      <c r="C682"/>
      <c r="D682"/>
      <c r="E682"/>
      <c r="F682"/>
      <c r="G682"/>
      <c r="H682"/>
    </row>
    <row r="683" spans="2:8" ht="16.5" customHeight="1" x14ac:dyDescent="0.2">
      <c r="B683"/>
      <c r="C683"/>
      <c r="D683"/>
      <c r="E683"/>
      <c r="F683"/>
      <c r="G683"/>
      <c r="H683"/>
    </row>
    <row r="684" spans="2:8" ht="16.5" customHeight="1" x14ac:dyDescent="0.2">
      <c r="B684"/>
      <c r="C684"/>
      <c r="D684"/>
      <c r="E684"/>
      <c r="F684"/>
      <c r="G684"/>
      <c r="H684"/>
    </row>
    <row r="685" spans="2:8" ht="16.5" customHeight="1" x14ac:dyDescent="0.2">
      <c r="B685"/>
      <c r="C685"/>
      <c r="D685"/>
      <c r="E685"/>
      <c r="F685"/>
      <c r="G685"/>
      <c r="H685"/>
    </row>
    <row r="686" spans="2:8" ht="16.5" customHeight="1" x14ac:dyDescent="0.2">
      <c r="B686"/>
      <c r="C686"/>
      <c r="D686"/>
      <c r="E686"/>
      <c r="F686"/>
      <c r="G686"/>
      <c r="H686"/>
    </row>
    <row r="687" spans="2:8" ht="16.5" customHeight="1" x14ac:dyDescent="0.2">
      <c r="B687"/>
      <c r="C687"/>
      <c r="D687"/>
      <c r="E687"/>
      <c r="F687"/>
      <c r="G687"/>
      <c r="H687"/>
    </row>
    <row r="688" spans="2:8" ht="16.5" customHeight="1" x14ac:dyDescent="0.2">
      <c r="B688"/>
      <c r="C688"/>
      <c r="D688"/>
      <c r="E688"/>
      <c r="F688"/>
      <c r="G688"/>
      <c r="H688"/>
    </row>
    <row r="689" spans="2:8" ht="16.5" customHeight="1" x14ac:dyDescent="0.2">
      <c r="B689"/>
      <c r="C689"/>
      <c r="D689"/>
      <c r="E689"/>
      <c r="F689"/>
      <c r="G689"/>
      <c r="H689"/>
    </row>
    <row r="690" spans="2:8" x14ac:dyDescent="0.2">
      <c r="B690"/>
      <c r="C690"/>
      <c r="D690"/>
      <c r="E690"/>
      <c r="F690"/>
      <c r="G690"/>
      <c r="H690"/>
    </row>
  </sheetData>
  <pageMargins left="0.7" right="0.7" top="0.75" bottom="0.75" header="0.3" footer="0.3"/>
  <ignoredErrors>
    <ignoredError sqref="C129 E1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KPIs by Market</vt:lpstr>
      <vt:lpstr>MarketWise AR</vt:lpstr>
      <vt:lpstr>KPIs - Enterprise</vt:lpstr>
      <vt:lpstr>AR - Enterprise</vt:lpstr>
      <vt:lpstr>AR Snapshot - Enterprise</vt:lpstr>
      <vt:lpstr>Highlights - Enterprise</vt:lpstr>
      <vt:lpstr>KPI - Market 1</vt:lpstr>
      <vt:lpstr>AR - Market 1</vt:lpstr>
      <vt:lpstr>KPI - Market 2</vt:lpstr>
      <vt:lpstr>AR - Market 2</vt:lpstr>
      <vt:lpstr>'AR - Enterprise'!Print_Area</vt:lpstr>
      <vt:lpstr>'AR Snapshot - Enterprise'!Print_Area</vt:lpstr>
      <vt:lpstr>'KPIs - Enterprise'!Print_Area</vt:lpstr>
      <vt:lpstr>'KPIs by Market'!Print_Area</vt:lpstr>
    </vt:vector>
  </TitlesOfParts>
  <Company>EqualizeRCM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Chitradip Pramanik</cp:lastModifiedBy>
  <cp:lastPrinted>2018-02-16T03:31:51Z</cp:lastPrinted>
  <dcterms:created xsi:type="dcterms:W3CDTF">2014-03-14T18:21:36Z</dcterms:created>
  <dcterms:modified xsi:type="dcterms:W3CDTF">2018-10-18T15:06:12Z</dcterms:modified>
</cp:coreProperties>
</file>